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viller/Documents/MODULES DE FORMATION par IB/"/>
    </mc:Choice>
  </mc:AlternateContent>
  <xr:revisionPtr revIDLastSave="0" documentId="13_ncr:1_{2E953DC6-C7A9-AD4E-8244-741EB58CB642}" xr6:coauthVersionLast="36" xr6:coauthVersionMax="36" xr10:uidLastSave="{00000000-0000-0000-0000-000000000000}"/>
  <bookViews>
    <workbookView xWindow="780" yWindow="960" windowWidth="27640" windowHeight="15840" xr2:uid="{BD02FAAD-0FA5-904A-A956-C19FE2973C03}"/>
  </bookViews>
  <sheets>
    <sheet name="exemple" sheetId="1" r:id="rId1"/>
    <sheet name="tab emprunt" sheetId="2" r:id="rId2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4" i="2"/>
  <c r="F2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H42" i="2"/>
  <c r="R22" i="1"/>
  <c r="H30" i="2"/>
  <c r="Q22" i="1"/>
  <c r="H18" i="2"/>
  <c r="P22" i="1"/>
  <c r="G42" i="2"/>
  <c r="L68" i="1"/>
  <c r="G30" i="2"/>
  <c r="K68" i="1"/>
  <c r="G18" i="2"/>
  <c r="J68" i="1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G54" i="2"/>
  <c r="D54" i="2"/>
  <c r="F54" i="2"/>
  <c r="E54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G2" i="2"/>
  <c r="J51" i="1"/>
  <c r="J85" i="1"/>
  <c r="Q63" i="1"/>
  <c r="Q62" i="1"/>
  <c r="AJ48" i="1"/>
  <c r="AJ49" i="1"/>
  <c r="AJ22" i="1"/>
  <c r="AI48" i="1"/>
  <c r="AI49" i="1"/>
  <c r="AI22" i="1"/>
  <c r="AH48" i="1"/>
  <c r="AH49" i="1"/>
  <c r="AH22" i="1"/>
  <c r="L14" i="1"/>
  <c r="L16" i="1"/>
  <c r="AJ44" i="1"/>
  <c r="AJ45" i="1"/>
  <c r="AJ21" i="1"/>
  <c r="K14" i="1"/>
  <c r="K16" i="1"/>
  <c r="AI44" i="1"/>
  <c r="AI45" i="1"/>
  <c r="AI21" i="1"/>
  <c r="J14" i="1"/>
  <c r="J16" i="1"/>
  <c r="AH44" i="1"/>
  <c r="AH45" i="1"/>
  <c r="AH21" i="1"/>
  <c r="AI40" i="1"/>
  <c r="AI41" i="1"/>
  <c r="AI20" i="1"/>
  <c r="AJ40" i="1"/>
  <c r="AJ41" i="1"/>
  <c r="AJ20" i="1"/>
  <c r="AH40" i="1"/>
  <c r="AH41" i="1"/>
  <c r="AH20" i="1"/>
  <c r="R40" i="1"/>
  <c r="Q40" i="1"/>
  <c r="R34" i="1"/>
  <c r="Q34" i="1"/>
  <c r="P34" i="1"/>
  <c r="AH6" i="1"/>
  <c r="K51" i="1"/>
  <c r="J52" i="1"/>
  <c r="K52" i="1"/>
  <c r="J63" i="1"/>
  <c r="K63" i="1"/>
  <c r="Q65" i="1"/>
  <c r="Q66" i="1"/>
  <c r="Q68" i="1"/>
  <c r="J71" i="1"/>
  <c r="K71" i="1"/>
  <c r="K20" i="1"/>
  <c r="K21" i="1"/>
  <c r="K22" i="1"/>
  <c r="K23" i="1"/>
  <c r="K24" i="1"/>
  <c r="K25" i="1"/>
  <c r="K26" i="1"/>
  <c r="K27" i="1"/>
  <c r="K28" i="1"/>
  <c r="K29" i="1"/>
  <c r="K30" i="1"/>
  <c r="K31" i="1"/>
  <c r="J32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3" i="1"/>
  <c r="K54" i="1"/>
  <c r="K55" i="1"/>
  <c r="K56" i="1"/>
  <c r="K57" i="1"/>
  <c r="K58" i="1"/>
  <c r="K59" i="1"/>
  <c r="K60" i="1"/>
  <c r="K62" i="1"/>
  <c r="K64" i="1"/>
  <c r="K65" i="1"/>
  <c r="K66" i="1"/>
  <c r="K67" i="1"/>
  <c r="K69" i="1"/>
  <c r="K70" i="1"/>
  <c r="K72" i="1"/>
  <c r="K73" i="1"/>
  <c r="L51" i="1"/>
  <c r="L52" i="1"/>
  <c r="L63" i="1"/>
  <c r="L71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3" i="1"/>
  <c r="L54" i="1"/>
  <c r="L55" i="1"/>
  <c r="L56" i="1"/>
  <c r="L57" i="1"/>
  <c r="L58" i="1"/>
  <c r="L59" i="1"/>
  <c r="L60" i="1"/>
  <c r="L62" i="1"/>
  <c r="L64" i="1"/>
  <c r="L65" i="1"/>
  <c r="L66" i="1"/>
  <c r="L67" i="1"/>
  <c r="L69" i="1"/>
  <c r="L70" i="1"/>
  <c r="L72" i="1"/>
  <c r="L73" i="1"/>
  <c r="J73" i="1"/>
  <c r="K18" i="1"/>
  <c r="L18" i="1"/>
  <c r="J18" i="1"/>
  <c r="K17" i="1"/>
  <c r="L17" i="1"/>
  <c r="J17" i="1"/>
  <c r="L5" i="1"/>
  <c r="K5" i="1"/>
  <c r="J5" i="1"/>
  <c r="E4" i="1"/>
  <c r="F4" i="1"/>
  <c r="L4" i="1"/>
  <c r="K4" i="1"/>
  <c r="J4" i="1"/>
  <c r="L12" i="1"/>
  <c r="L75" i="1"/>
  <c r="L77" i="1"/>
  <c r="K12" i="1"/>
  <c r="K75" i="1"/>
  <c r="K77" i="1"/>
  <c r="L86" i="1"/>
  <c r="J12" i="1"/>
  <c r="J75" i="1"/>
  <c r="J77" i="1"/>
  <c r="K86" i="1"/>
  <c r="J86" i="1"/>
  <c r="L81" i="1"/>
  <c r="L83" i="1"/>
  <c r="K81" i="1"/>
  <c r="K83" i="1"/>
  <c r="J81" i="1"/>
  <c r="J83" i="1"/>
  <c r="P68" i="1"/>
  <c r="F9" i="1"/>
  <c r="F10" i="1"/>
  <c r="F17" i="1"/>
  <c r="F52" i="1"/>
  <c r="F19" i="1"/>
  <c r="F23" i="1"/>
  <c r="F24" i="1"/>
  <c r="F25" i="1"/>
  <c r="F26" i="1"/>
  <c r="F27" i="1"/>
  <c r="F28" i="1"/>
  <c r="F32" i="1"/>
  <c r="F33" i="1"/>
  <c r="F38" i="1"/>
  <c r="F45" i="1"/>
  <c r="F50" i="1"/>
  <c r="F53" i="1"/>
  <c r="F56" i="1"/>
  <c r="F58" i="1"/>
  <c r="E9" i="1"/>
  <c r="E10" i="1"/>
  <c r="E17" i="1"/>
  <c r="E52" i="1"/>
  <c r="E19" i="1"/>
  <c r="E23" i="1"/>
  <c r="E24" i="1"/>
  <c r="E25" i="1"/>
  <c r="E26" i="1"/>
  <c r="E27" i="1"/>
  <c r="E28" i="1"/>
  <c r="E32" i="1"/>
  <c r="E33" i="1"/>
  <c r="E38" i="1"/>
  <c r="E45" i="1"/>
  <c r="E50" i="1"/>
  <c r="E53" i="1"/>
  <c r="E56" i="1"/>
  <c r="E58" i="1"/>
  <c r="D9" i="1"/>
  <c r="D10" i="1"/>
  <c r="D17" i="1"/>
  <c r="D52" i="1"/>
  <c r="D19" i="1"/>
  <c r="D23" i="1"/>
  <c r="D24" i="1"/>
  <c r="D25" i="1"/>
  <c r="D26" i="1"/>
  <c r="D27" i="1"/>
  <c r="D28" i="1"/>
  <c r="D32" i="1"/>
  <c r="D33" i="1"/>
  <c r="D38" i="1"/>
  <c r="D45" i="1"/>
  <c r="D50" i="1"/>
  <c r="D53" i="1"/>
  <c r="D56" i="1"/>
  <c r="D58" i="1"/>
  <c r="P36" i="1"/>
  <c r="P40" i="1"/>
  <c r="AH25" i="1"/>
  <c r="P43" i="1"/>
  <c r="AH26" i="1"/>
  <c r="P44" i="1"/>
  <c r="P47" i="1"/>
  <c r="P11" i="1"/>
  <c r="P13" i="1"/>
  <c r="P14" i="1"/>
  <c r="P15" i="1"/>
  <c r="O20" i="1"/>
  <c r="P20" i="1"/>
  <c r="P25" i="1"/>
  <c r="P51" i="1"/>
  <c r="P55" i="1"/>
  <c r="Q54" i="1"/>
  <c r="Q36" i="1"/>
  <c r="AI25" i="1"/>
  <c r="Q43" i="1"/>
  <c r="AI26" i="1"/>
  <c r="Q44" i="1"/>
  <c r="Q47" i="1"/>
  <c r="Q11" i="1"/>
  <c r="Q25" i="1"/>
  <c r="Q51" i="1"/>
  <c r="Q55" i="1"/>
  <c r="R54" i="1"/>
  <c r="R36" i="1"/>
  <c r="AJ25" i="1"/>
  <c r="R43" i="1"/>
  <c r="AJ26" i="1"/>
  <c r="R44" i="1"/>
  <c r="R47" i="1"/>
  <c r="R11" i="1"/>
  <c r="R25" i="1"/>
  <c r="R51" i="1"/>
  <c r="R55" i="1"/>
  <c r="AJ29" i="1"/>
  <c r="AI6" i="1"/>
  <c r="AJ6" i="1"/>
  <c r="AH10" i="1"/>
  <c r="AH9" i="1"/>
  <c r="AI8" i="1"/>
  <c r="AI10" i="1"/>
  <c r="AI9" i="1"/>
  <c r="AJ8" i="1"/>
  <c r="AJ9" i="1"/>
  <c r="AJ10" i="1"/>
  <c r="AH12" i="1"/>
  <c r="AI12" i="1"/>
  <c r="AJ12" i="1"/>
  <c r="AH13" i="1"/>
  <c r="AI13" i="1"/>
  <c r="AJ13" i="1"/>
  <c r="AH14" i="1"/>
  <c r="AI14" i="1"/>
  <c r="AJ14" i="1"/>
  <c r="AH15" i="1"/>
  <c r="AI15" i="1"/>
  <c r="AJ15" i="1"/>
  <c r="AJ17" i="1"/>
  <c r="AJ32" i="1"/>
  <c r="AJ35" i="1"/>
  <c r="R57" i="1"/>
  <c r="AI29" i="1"/>
  <c r="AI17" i="1"/>
  <c r="AI32" i="1"/>
  <c r="AI35" i="1"/>
  <c r="Q57" i="1"/>
  <c r="AH29" i="1"/>
  <c r="AH17" i="1"/>
  <c r="AH32" i="1"/>
  <c r="AH35" i="1"/>
  <c r="P57" i="1"/>
  <c r="F57" i="1"/>
  <c r="E57" i="1"/>
  <c r="D57" i="1"/>
  <c r="O44" i="1"/>
  <c r="O47" i="1"/>
  <c r="O11" i="1"/>
  <c r="O25" i="1"/>
  <c r="O51" i="1"/>
  <c r="O55" i="1"/>
  <c r="AC43" i="1"/>
  <c r="AC45" i="1"/>
  <c r="AC46" i="1"/>
  <c r="AC47" i="1"/>
  <c r="AC32" i="1"/>
  <c r="AC35" i="1"/>
  <c r="AC36" i="1"/>
  <c r="AC38" i="1"/>
  <c r="AC51" i="1"/>
  <c r="W10" i="1"/>
  <c r="Z10" i="1"/>
  <c r="AC10" i="1"/>
  <c r="AA10" i="1"/>
  <c r="AA11" i="1"/>
  <c r="AB11" i="1"/>
  <c r="AC11" i="1"/>
  <c r="AC13" i="1"/>
  <c r="AA16" i="1"/>
  <c r="AC16" i="1"/>
  <c r="AA19" i="1"/>
  <c r="AC19" i="1"/>
  <c r="AC22" i="1"/>
  <c r="AC24" i="1"/>
  <c r="AC27" i="1"/>
  <c r="AC52" i="1"/>
  <c r="Z43" i="1"/>
  <c r="Z45" i="1"/>
  <c r="Z46" i="1"/>
  <c r="Z47" i="1"/>
  <c r="Z32" i="1"/>
  <c r="Z35" i="1"/>
  <c r="Z36" i="1"/>
  <c r="Z38" i="1"/>
  <c r="Z51" i="1"/>
  <c r="X10" i="1"/>
  <c r="X11" i="1"/>
  <c r="Y11" i="1"/>
  <c r="Z11" i="1"/>
  <c r="Z13" i="1"/>
  <c r="X16" i="1"/>
  <c r="Z16" i="1"/>
  <c r="X19" i="1"/>
  <c r="Z19" i="1"/>
  <c r="Z22" i="1"/>
  <c r="Z24" i="1"/>
  <c r="Z27" i="1"/>
  <c r="Z52" i="1"/>
  <c r="W43" i="1"/>
  <c r="W45" i="1"/>
  <c r="W46" i="1"/>
  <c r="W47" i="1"/>
  <c r="W32" i="1"/>
  <c r="W35" i="1"/>
  <c r="W36" i="1"/>
  <c r="W38" i="1"/>
  <c r="W51" i="1"/>
  <c r="U11" i="1"/>
  <c r="V11" i="1"/>
  <c r="W11" i="1"/>
  <c r="W13" i="1"/>
  <c r="U16" i="1"/>
  <c r="W16" i="1"/>
  <c r="U19" i="1"/>
  <c r="W19" i="1"/>
  <c r="W22" i="1"/>
  <c r="W24" i="1"/>
  <c r="W27" i="1"/>
  <c r="W52" i="1"/>
  <c r="AB47" i="1"/>
  <c r="AB38" i="1"/>
  <c r="AB51" i="1"/>
  <c r="AA47" i="1"/>
  <c r="AA38" i="1"/>
  <c r="AA51" i="1"/>
  <c r="Y47" i="1"/>
  <c r="Y38" i="1"/>
  <c r="Y51" i="1"/>
  <c r="X47" i="1"/>
  <c r="X38" i="1"/>
  <c r="X51" i="1"/>
  <c r="F47" i="1"/>
  <c r="E47" i="1"/>
  <c r="D47" i="1"/>
  <c r="F40" i="1"/>
  <c r="F35" i="1"/>
  <c r="F42" i="1"/>
  <c r="E40" i="1"/>
  <c r="E35" i="1"/>
  <c r="E42" i="1"/>
  <c r="D40" i="1"/>
  <c r="D35" i="1"/>
  <c r="D42" i="1"/>
  <c r="AJ38" i="1"/>
  <c r="AI38" i="1"/>
  <c r="AH38" i="1"/>
  <c r="AJ30" i="1"/>
  <c r="AJ18" i="1"/>
  <c r="AJ33" i="1"/>
  <c r="AI30" i="1"/>
  <c r="AI18" i="1"/>
  <c r="AI33" i="1"/>
  <c r="AH30" i="1"/>
  <c r="AH18" i="1"/>
  <c r="AH33" i="1"/>
  <c r="O32" i="1"/>
  <c r="P5" i="1"/>
  <c r="P31" i="1"/>
  <c r="O4" i="1"/>
  <c r="O30" i="1"/>
  <c r="P30" i="1"/>
  <c r="Q30" i="1"/>
  <c r="R30" i="1"/>
  <c r="C4" i="1"/>
  <c r="I4" i="1"/>
  <c r="N4" i="1"/>
  <c r="N30" i="1"/>
  <c r="AB13" i="1"/>
  <c r="AB24" i="1"/>
  <c r="AB27" i="1"/>
  <c r="AA13" i="1"/>
  <c r="AA22" i="1"/>
  <c r="AA24" i="1"/>
  <c r="AA27" i="1"/>
  <c r="Y13" i="1"/>
  <c r="Y24" i="1"/>
  <c r="Y27" i="1"/>
  <c r="X13" i="1"/>
  <c r="X22" i="1"/>
  <c r="X24" i="1"/>
  <c r="X27" i="1"/>
  <c r="V13" i="1"/>
  <c r="V24" i="1"/>
  <c r="V27" i="1"/>
  <c r="U13" i="1"/>
  <c r="U22" i="1"/>
  <c r="U24" i="1"/>
  <c r="U27" i="1"/>
  <c r="L8" i="1"/>
  <c r="K8" i="1"/>
  <c r="L7" i="1"/>
  <c r="K7" i="1"/>
  <c r="J7" i="1"/>
  <c r="N5" i="1"/>
  <c r="T5" i="1"/>
  <c r="R4" i="1"/>
  <c r="AJ4" i="1"/>
  <c r="Q4" i="1"/>
  <c r="AI4" i="1"/>
  <c r="P4" i="1"/>
  <c r="AH4" i="1"/>
  <c r="T4" i="1"/>
  <c r="B4" i="1"/>
  <c r="AA3" i="1"/>
  <c r="Y3" i="1"/>
  <c r="V3" i="1"/>
</calcChain>
</file>

<file path=xl/sharedStrings.xml><?xml version="1.0" encoding="utf-8"?>
<sst xmlns="http://schemas.openxmlformats.org/spreadsheetml/2006/main" count="298" uniqueCount="273">
  <si>
    <t>FEUILLE DE TRAVAIL</t>
  </si>
  <si>
    <t>Balance générale comptes 1 à 5</t>
  </si>
  <si>
    <t>ETATS FINANCIERS PREVISIONNELS</t>
  </si>
  <si>
    <t>COMPTE DE RESULTAT PREVISIONNEL</t>
  </si>
  <si>
    <t>COMPTE DE RESULTAT PREVISIONNEL (HT sans TVA)</t>
  </si>
  <si>
    <t>prev</t>
  </si>
  <si>
    <t>PLAN DE FINANCEMENT</t>
  </si>
  <si>
    <t>BILAN PREVISIONNEL</t>
  </si>
  <si>
    <t>n°</t>
  </si>
  <si>
    <t>Libellé du compte</t>
  </si>
  <si>
    <t>remarques</t>
  </si>
  <si>
    <t>prévisionnel</t>
  </si>
  <si>
    <t>BRUT</t>
  </si>
  <si>
    <t>Amort.</t>
  </si>
  <si>
    <t>NET</t>
  </si>
  <si>
    <t>12 mois</t>
  </si>
  <si>
    <t>de compte</t>
  </si>
  <si>
    <t>initial</t>
  </si>
  <si>
    <t>début exercice</t>
  </si>
  <si>
    <t>fin exercice</t>
  </si>
  <si>
    <t>capital</t>
  </si>
  <si>
    <t>ca par mois :</t>
  </si>
  <si>
    <t>ACTIF</t>
  </si>
  <si>
    <t>réserves</t>
  </si>
  <si>
    <t>Ventes de marchandises</t>
  </si>
  <si>
    <t>% de croissance par an :</t>
  </si>
  <si>
    <t>AUTRES RESSOURCES :</t>
  </si>
  <si>
    <t>report à nouveau</t>
  </si>
  <si>
    <t>Forme juridique : SASU</t>
  </si>
  <si>
    <t>Production vendue biens/services</t>
  </si>
  <si>
    <t xml:space="preserve"> chiffre d'affaires</t>
  </si>
  <si>
    <t>Actif immobilisé</t>
  </si>
  <si>
    <t>prélèvement exploitant</t>
  </si>
  <si>
    <t>Régime fiscal :</t>
  </si>
  <si>
    <t>Chiffres d'affaires nets</t>
  </si>
  <si>
    <t>Immobilisations incorporelles</t>
  </si>
  <si>
    <t>résultat</t>
  </si>
  <si>
    <t>Impôt sur les sociétés</t>
  </si>
  <si>
    <t>produits divers de gestion</t>
  </si>
  <si>
    <t xml:space="preserve">   - capacité d'autofinancement</t>
  </si>
  <si>
    <t>Immobilisations corporelles</t>
  </si>
  <si>
    <t>autres provisions pour risques</t>
  </si>
  <si>
    <t>tva régime reel normal</t>
  </si>
  <si>
    <t>Production stockée</t>
  </si>
  <si>
    <t xml:space="preserve">TOTAL REVENUS </t>
  </si>
  <si>
    <t xml:space="preserve">   - cessions d'immobilisations</t>
  </si>
  <si>
    <t>Immobilisations financières</t>
  </si>
  <si>
    <t>emprunt</t>
  </si>
  <si>
    <t>Production immobilisée</t>
  </si>
  <si>
    <t>achats de marchandises et matières (environ 8% du CA)</t>
  </si>
  <si>
    <t xml:space="preserve">   - augmentation des capitaux propres</t>
  </si>
  <si>
    <t>Total (1)</t>
  </si>
  <si>
    <t>immobilisations</t>
  </si>
  <si>
    <t>Subventions d'exploitation reçues</t>
  </si>
  <si>
    <t>EDF gdf eau</t>
  </si>
  <si>
    <t xml:space="preserve">   - augmentation des dettes financières (banque)</t>
  </si>
  <si>
    <t>amortissements sur immo</t>
  </si>
  <si>
    <t>Reprises sur amort. Et prov. Transferts de charges</t>
  </si>
  <si>
    <t>Fournitures d'entretien</t>
  </si>
  <si>
    <t xml:space="preserve">   - augmentation des dettes financières (associés)</t>
  </si>
  <si>
    <t>Actif circulant :</t>
  </si>
  <si>
    <t>compte courant associés</t>
  </si>
  <si>
    <t>Autres produits</t>
  </si>
  <si>
    <t>Petit équipements</t>
  </si>
  <si>
    <t xml:space="preserve">  </t>
  </si>
  <si>
    <t>Stocks et en-cours</t>
  </si>
  <si>
    <t>Total des produits d'exploitation</t>
  </si>
  <si>
    <t>petit matériel vet de travail</t>
  </si>
  <si>
    <t>AUTRES EMPLOIS :</t>
  </si>
  <si>
    <t>Marchandises</t>
  </si>
  <si>
    <t>total fr</t>
  </si>
  <si>
    <t>fournitures administratives</t>
  </si>
  <si>
    <t>Avances et acomptes versés sur commandes</t>
  </si>
  <si>
    <t>variation fr</t>
  </si>
  <si>
    <t>Achats de marchandises</t>
  </si>
  <si>
    <t>Crédit bail mobilier</t>
  </si>
  <si>
    <t xml:space="preserve">  - distributions de dividendes / rému exploitant</t>
  </si>
  <si>
    <t>Créances clients</t>
  </si>
  <si>
    <t>Variation de stock de marchandises</t>
  </si>
  <si>
    <t>Crédit bail immobilier</t>
  </si>
  <si>
    <t xml:space="preserve">  - investissements nouveaux</t>
  </si>
  <si>
    <t>Autres créances</t>
  </si>
  <si>
    <t>stock de marchandises</t>
  </si>
  <si>
    <t>Achats de matières 1ères et autres approv.</t>
  </si>
  <si>
    <t>loyer local (2500€/mois)</t>
  </si>
  <si>
    <t xml:space="preserve">  - réduction des capitaux propres</t>
  </si>
  <si>
    <t>Valeurs mobilières de placement</t>
  </si>
  <si>
    <t xml:space="preserve">fournisseurs </t>
  </si>
  <si>
    <t xml:space="preserve">  * HYPOTHESES :</t>
  </si>
  <si>
    <t>Variation de stock de matières 1ères</t>
  </si>
  <si>
    <t>Location outillage</t>
  </si>
  <si>
    <t xml:space="preserve">  - remboursements des dettes financières &amp; cc </t>
  </si>
  <si>
    <t>Disponibilités</t>
  </si>
  <si>
    <t>clients</t>
  </si>
  <si>
    <t>Autres achats et charges externes</t>
  </si>
  <si>
    <t>loc site internet</t>
  </si>
  <si>
    <t>Caisse</t>
  </si>
  <si>
    <t>salariés</t>
  </si>
  <si>
    <t>chaque fin de mois</t>
  </si>
  <si>
    <t>Impôts, taxes et versements assimilés</t>
  </si>
  <si>
    <t>entretien travaux installation</t>
  </si>
  <si>
    <t>Total (2)</t>
  </si>
  <si>
    <t>charges sociales</t>
  </si>
  <si>
    <t>Salaires et traitements</t>
  </si>
  <si>
    <t>maintenance</t>
  </si>
  <si>
    <t>VARIATION DU Fonds De Roulement net global</t>
  </si>
  <si>
    <t>etat is - tva …</t>
  </si>
  <si>
    <t>solde is</t>
  </si>
  <si>
    <t>Charges sociales salariés</t>
  </si>
  <si>
    <t>Assurances (décennale + véhicule)</t>
  </si>
  <si>
    <t>Charges constatées d'avance (3)</t>
  </si>
  <si>
    <t>prov charges fiscales</t>
  </si>
  <si>
    <t>au 28/2/n+1</t>
  </si>
  <si>
    <t>Charges sociales exploitant</t>
  </si>
  <si>
    <t xml:space="preserve">documentation </t>
  </si>
  <si>
    <t>Total Général (1 à 3)             ACTIF</t>
  </si>
  <si>
    <t>Dotations aux amortissements sur immobilisations</t>
  </si>
  <si>
    <t>intérimaires</t>
  </si>
  <si>
    <t>Dotations aux provisions sur immobilisations</t>
  </si>
  <si>
    <t>honoraires formation</t>
  </si>
  <si>
    <t>PASSIF</t>
  </si>
  <si>
    <t>total bfr</t>
  </si>
  <si>
    <t>Dotations aux provisions sur actif circulant</t>
  </si>
  <si>
    <t>honoraires expert comptable</t>
  </si>
  <si>
    <t>variation bfr</t>
  </si>
  <si>
    <t>Dotations aux provisions pour risques et charges</t>
  </si>
  <si>
    <t>création société : frais greffe, stage …</t>
  </si>
  <si>
    <t>Capitaux propres</t>
  </si>
  <si>
    <t>Autres charges</t>
  </si>
  <si>
    <t>publicité et annonces</t>
  </si>
  <si>
    <t>Capital</t>
  </si>
  <si>
    <t>total fr + bfr</t>
  </si>
  <si>
    <t>Total des charges d'exploitation</t>
  </si>
  <si>
    <t>cadeaux</t>
  </si>
  <si>
    <t>Ecarts de réévaluation</t>
  </si>
  <si>
    <t>variation fr+bfr</t>
  </si>
  <si>
    <t>SASU Mirabelle</t>
  </si>
  <si>
    <t>pourboires</t>
  </si>
  <si>
    <t xml:space="preserve">  - stocks et en-cours</t>
  </si>
  <si>
    <t>Réserves</t>
  </si>
  <si>
    <t>vente de tarte aux fraises</t>
  </si>
  <si>
    <t>Résultat d'exploitation</t>
  </si>
  <si>
    <t>transport sur achats et ventes</t>
  </si>
  <si>
    <t xml:space="preserve">  - avances et acomptes versés sur commandes</t>
  </si>
  <si>
    <t>Report à nouveau</t>
  </si>
  <si>
    <t>banques</t>
  </si>
  <si>
    <t>voyages et déplacements</t>
  </si>
  <si>
    <t xml:space="preserve">  - créances clients</t>
  </si>
  <si>
    <t>Résultat de l'exercice</t>
  </si>
  <si>
    <t>caisses</t>
  </si>
  <si>
    <t>Produits financiers</t>
  </si>
  <si>
    <t>frais de repas déplacements</t>
  </si>
  <si>
    <t xml:space="preserve">  - autres créances</t>
  </si>
  <si>
    <t>Provisions réglementées</t>
  </si>
  <si>
    <t>Charges financières</t>
  </si>
  <si>
    <t>réceptions</t>
  </si>
  <si>
    <t>total bilan</t>
  </si>
  <si>
    <t>Frais de télécoms / internet :</t>
  </si>
  <si>
    <t xml:space="preserve">  - avances et acptes reçus s/commandes</t>
  </si>
  <si>
    <t>Résultat financier</t>
  </si>
  <si>
    <t xml:space="preserve">  la poste (timbres…)</t>
  </si>
  <si>
    <t xml:space="preserve">  - dettes fournisseurs </t>
  </si>
  <si>
    <t>Provisions (2)</t>
  </si>
  <si>
    <t xml:space="preserve">  - Commentaires </t>
  </si>
  <si>
    <t>Services bancaires</t>
  </si>
  <si>
    <t xml:space="preserve">  - autres dettes :</t>
  </si>
  <si>
    <t xml:space="preserve">  - Compte de résultat</t>
  </si>
  <si>
    <t>Résultat courant avant impôt</t>
  </si>
  <si>
    <t>Services bancaires  frais cb 1% sur 70% ca</t>
  </si>
  <si>
    <t xml:space="preserve">    salariés/ organismes sociaux</t>
  </si>
  <si>
    <t>Dettes</t>
  </si>
  <si>
    <t xml:space="preserve">  - Bilan</t>
  </si>
  <si>
    <t>Cotisation cga</t>
  </si>
  <si>
    <t xml:space="preserve">    impôt , tva …</t>
  </si>
  <si>
    <t>Emprunts et dettes assimilées</t>
  </si>
  <si>
    <t xml:space="preserve">  - Plan de financement</t>
  </si>
  <si>
    <t>Produits exceptionnels</t>
  </si>
  <si>
    <t>taxe sur salaires 4,25%</t>
  </si>
  <si>
    <t xml:space="preserve">    autres impôts (tva sur investissements)</t>
  </si>
  <si>
    <t>Avances et acomptes reçus sur commandes en cours</t>
  </si>
  <si>
    <t>total ca ttc</t>
  </si>
  <si>
    <t>Charges exceptionnelles</t>
  </si>
  <si>
    <t>taxes assises sur les salaires TA 0,50%+0,18%</t>
  </si>
  <si>
    <t>Fournisseurs et comptes rattachés</t>
  </si>
  <si>
    <t>j ca ttc</t>
  </si>
  <si>
    <t>formation continue 0,60%</t>
  </si>
  <si>
    <t>Autres</t>
  </si>
  <si>
    <t>Résultat exceptionnel</t>
  </si>
  <si>
    <t>CFE (taxe professionnelle) / exonération 1ere année</t>
  </si>
  <si>
    <t>VARIATION DU Besoin en Fonds de Roulement</t>
  </si>
  <si>
    <t>Total (3)</t>
  </si>
  <si>
    <t>tvts</t>
  </si>
  <si>
    <t>Participation des salariés</t>
  </si>
  <si>
    <t>impots locaux</t>
  </si>
  <si>
    <t>Produits constatés d'avance (4)</t>
  </si>
  <si>
    <t>Impôt sur les bénéfices</t>
  </si>
  <si>
    <t>ifa  / exo 3ères années</t>
  </si>
  <si>
    <t xml:space="preserve">droits d'enregistrements  </t>
  </si>
  <si>
    <t>Total variation de trésorerie</t>
  </si>
  <si>
    <t>Total général (1 à 4)            PASSIF</t>
  </si>
  <si>
    <t>Total des produits</t>
  </si>
  <si>
    <t>cont sociale de solidarité 0,16% si ca&gt;760k€</t>
  </si>
  <si>
    <t>Total des charges</t>
  </si>
  <si>
    <t>taxes diverses</t>
  </si>
  <si>
    <t>Variation "Trésorerie"</t>
  </si>
  <si>
    <t>Rémunération du personnel</t>
  </si>
  <si>
    <t xml:space="preserve">  - solde initial</t>
  </si>
  <si>
    <t xml:space="preserve">  - solde final</t>
  </si>
  <si>
    <t>RESULTAT NET COMPTABLE</t>
  </si>
  <si>
    <t>charges sociales patronales 30%</t>
  </si>
  <si>
    <t>Taux RNC / CA</t>
  </si>
  <si>
    <t>contrôle</t>
  </si>
  <si>
    <t>medecine du travail</t>
  </si>
  <si>
    <t xml:space="preserve">redevances licences </t>
  </si>
  <si>
    <t>pertes sur créances</t>
  </si>
  <si>
    <t>amort / an</t>
  </si>
  <si>
    <t>frais divers de gestion et sacem</t>
  </si>
  <si>
    <t xml:space="preserve">charges financières </t>
  </si>
  <si>
    <t>charges exceptionnelles</t>
  </si>
  <si>
    <t xml:space="preserve">  - matériels</t>
  </si>
  <si>
    <t>amendes et pénalités</t>
  </si>
  <si>
    <t>Dotations aux amort et prov</t>
  </si>
  <si>
    <t>dotations risques et charges</t>
  </si>
  <si>
    <t xml:space="preserve">TOTAL CHARGES </t>
  </si>
  <si>
    <t xml:space="preserve">TOTAL </t>
  </si>
  <si>
    <t>RESULTAT COMPTABLE &lt; impôt sur les sociétés</t>
  </si>
  <si>
    <t>RESULTAT NET COMPTABLE après IS</t>
  </si>
  <si>
    <t>taux rnc / ca</t>
  </si>
  <si>
    <t>dette is au 31/12/N</t>
  </si>
  <si>
    <t>le 10/11/2018</t>
  </si>
  <si>
    <t>exercices 2018-2019-2020</t>
  </si>
  <si>
    <t>Date de création : 1/01/2018</t>
  </si>
  <si>
    <t>Subventions</t>
  </si>
  <si>
    <t>6 …</t>
  </si>
  <si>
    <t>autres achats variables ….</t>
  </si>
  <si>
    <t>Sous-total achats variables</t>
  </si>
  <si>
    <t>% des achats variables sur la Chiffre d'affaires</t>
  </si>
  <si>
    <t>ou coefficient x achats = CA</t>
  </si>
  <si>
    <t xml:space="preserve">rémunération dirigeant  </t>
  </si>
  <si>
    <t>cotisation sociales dirigeant 40%</t>
  </si>
  <si>
    <t>% INFLATION DES DEPENSES</t>
  </si>
  <si>
    <t>7 jours</t>
  </si>
  <si>
    <t>30 jours achat mat 1eres</t>
  </si>
  <si>
    <t>nbre jours achats ht en stock</t>
  </si>
  <si>
    <t>total achats HT de matière 1eres</t>
  </si>
  <si>
    <t>total achats TTC de matière 1eres</t>
  </si>
  <si>
    <t>achats ht par jour</t>
  </si>
  <si>
    <t>achats ttc par jour</t>
  </si>
  <si>
    <t>dettes fournisseurs en nombre de jours d'achats ttc</t>
  </si>
  <si>
    <t xml:space="preserve">45jours </t>
  </si>
  <si>
    <t>créances clients en nombre de jours de CA TTC</t>
  </si>
  <si>
    <t>durée</t>
  </si>
  <si>
    <t>amortissement</t>
  </si>
  <si>
    <t>frais de création payable immédiatement</t>
  </si>
  <si>
    <t xml:space="preserve">  = &gt; voir dossier en pièce jointe …</t>
  </si>
  <si>
    <t>k</t>
  </si>
  <si>
    <t>mensualités</t>
  </si>
  <si>
    <t>taux</t>
  </si>
  <si>
    <t>échéances</t>
  </si>
  <si>
    <t>k départ</t>
  </si>
  <si>
    <t>intérêts</t>
  </si>
  <si>
    <t>amort</t>
  </si>
  <si>
    <t>k fin</t>
  </si>
  <si>
    <t>int</t>
  </si>
  <si>
    <t>amort k</t>
  </si>
  <si>
    <t>Commentaires</t>
  </si>
  <si>
    <t xml:space="preserve">is 15% si rf &lt; 38120€   </t>
  </si>
  <si>
    <t>is 28% si rf &gt;38120 et &lt;500000</t>
  </si>
  <si>
    <t>is 33 1/3% si rf &gt; 500000</t>
  </si>
  <si>
    <t>Investissements ht :</t>
  </si>
  <si>
    <t>prix ht</t>
  </si>
  <si>
    <t xml:space="preserve">  - 1 véhicule utilitaire</t>
  </si>
  <si>
    <t>LES CASES AVEC CE FOND JAUNE SONT A COMPLETER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</si>
</sst>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\ &quot;€&quot;;[Red]\-#,##0.00\ &quot;€&quot;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6E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Continuous" wrapText="1"/>
    </xf>
    <xf numFmtId="3" fontId="1" fillId="2" borderId="3" xfId="0" applyNumberFormat="1" applyFont="1" applyFill="1" applyBorder="1" applyAlignment="1">
      <alignment horizontal="centerContinuous" wrapText="1"/>
    </xf>
    <xf numFmtId="3" fontId="1" fillId="2" borderId="4" xfId="0" applyNumberFormat="1" applyFont="1" applyFill="1" applyBorder="1" applyAlignment="1">
      <alignment horizontal="centerContinuous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3" fontId="1" fillId="0" borderId="0" xfId="0" applyNumberFormat="1" applyFont="1" applyAlignment="1">
      <alignment horizontal="left"/>
    </xf>
    <xf numFmtId="3" fontId="1" fillId="2" borderId="8" xfId="0" applyNumberFormat="1" applyFont="1" applyFill="1" applyBorder="1" applyAlignment="1">
      <alignment horizontal="center" wrapText="1"/>
    </xf>
    <xf numFmtId="3" fontId="0" fillId="2" borderId="8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Continuous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Continuous" wrapText="1"/>
    </xf>
    <xf numFmtId="3" fontId="1" fillId="2" borderId="10" xfId="0" applyNumberFormat="1" applyFont="1" applyFill="1" applyBorder="1" applyAlignment="1">
      <alignment horizontal="centerContinuous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3" fontId="0" fillId="0" borderId="0" xfId="0" applyNumberFormat="1" applyAlignment="1">
      <alignment horizontal="left"/>
    </xf>
    <xf numFmtId="0" fontId="1" fillId="2" borderId="8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3" fontId="1" fillId="3" borderId="12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3" fontId="1" fillId="2" borderId="12" xfId="0" applyNumberFormat="1" applyFont="1" applyFill="1" applyBorder="1" applyAlignment="1">
      <alignment horizontal="center" wrapText="1"/>
    </xf>
    <xf numFmtId="3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3" fontId="0" fillId="0" borderId="13" xfId="0" applyNumberFormat="1" applyBorder="1"/>
    <xf numFmtId="3" fontId="1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0" fillId="0" borderId="0" xfId="0" applyNumberFormat="1" applyFill="1" applyBorder="1"/>
    <xf numFmtId="0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 wrapText="1"/>
    </xf>
    <xf numFmtId="3" fontId="1" fillId="2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/>
    <xf numFmtId="3" fontId="0" fillId="0" borderId="15" xfId="0" applyNumberFormat="1" applyBorder="1"/>
    <xf numFmtId="3" fontId="3" fillId="0" borderId="0" xfId="0" applyNumberFormat="1" applyFont="1" applyFill="1" applyBorder="1" applyAlignment="1">
      <alignment horizontal="left"/>
    </xf>
    <xf numFmtId="3" fontId="0" fillId="0" borderId="8" xfId="0" applyNumberFormat="1" applyBorder="1" applyAlignment="1">
      <alignment wrapText="1"/>
    </xf>
    <xf numFmtId="3" fontId="0" fillId="0" borderId="8" xfId="0" applyNumberFormat="1" applyFill="1" applyBorder="1" applyAlignment="1">
      <alignment horizontal="right" wrapText="1"/>
    </xf>
    <xf numFmtId="3" fontId="0" fillId="0" borderId="8" xfId="0" applyNumberFormat="1" applyFill="1" applyBorder="1"/>
    <xf numFmtId="10" fontId="0" fillId="0" borderId="8" xfId="0" applyNumberFormat="1" applyFill="1" applyBorder="1"/>
    <xf numFmtId="3" fontId="1" fillId="0" borderId="8" xfId="0" applyNumberFormat="1" applyFont="1" applyBorder="1"/>
    <xf numFmtId="3" fontId="0" fillId="0" borderId="16" xfId="0" applyNumberFormat="1" applyBorder="1"/>
    <xf numFmtId="0" fontId="3" fillId="0" borderId="15" xfId="0" applyFont="1" applyBorder="1"/>
    <xf numFmtId="3" fontId="1" fillId="0" borderId="14" xfId="0" applyNumberFormat="1" applyFont="1" applyFill="1" applyBorder="1" applyAlignment="1">
      <alignment wrapText="1"/>
    </xf>
    <xf numFmtId="3" fontId="1" fillId="0" borderId="14" xfId="0" applyNumberFormat="1" applyFont="1" applyFill="1" applyBorder="1"/>
    <xf numFmtId="3" fontId="1" fillId="0" borderId="0" xfId="0" applyNumberFormat="1" applyFont="1" applyFill="1" applyBorder="1"/>
    <xf numFmtId="3" fontId="0" fillId="0" borderId="17" xfId="0" applyNumberFormat="1" applyBorder="1"/>
    <xf numFmtId="3" fontId="0" fillId="0" borderId="8" xfId="0" applyNumberFormat="1" applyFill="1" applyBorder="1" applyAlignment="1">
      <alignment wrapText="1"/>
    </xf>
    <xf numFmtId="3" fontId="3" fillId="0" borderId="18" xfId="0" applyNumberFormat="1" applyFont="1" applyFill="1" applyBorder="1"/>
    <xf numFmtId="3" fontId="0" fillId="0" borderId="18" xfId="0" applyNumberFormat="1" applyBorder="1"/>
    <xf numFmtId="0" fontId="0" fillId="3" borderId="8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wrapText="1"/>
    </xf>
    <xf numFmtId="3" fontId="0" fillId="3" borderId="8" xfId="0" applyNumberFormat="1" applyFill="1" applyBorder="1"/>
    <xf numFmtId="3" fontId="0" fillId="0" borderId="19" xfId="0" applyNumberFormat="1" applyBorder="1"/>
    <xf numFmtId="3" fontId="3" fillId="0" borderId="20" xfId="0" applyNumberFormat="1" applyFont="1" applyFill="1" applyBorder="1" applyAlignment="1">
      <alignment wrapText="1"/>
    </xf>
    <xf numFmtId="3" fontId="0" fillId="0" borderId="14" xfId="0" applyNumberFormat="1" applyBorder="1"/>
    <xf numFmtId="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3" fontId="0" fillId="0" borderId="21" xfId="0" applyNumberFormat="1" applyBorder="1"/>
    <xf numFmtId="3" fontId="3" fillId="0" borderId="22" xfId="0" applyNumberFormat="1" applyFont="1" applyFill="1" applyBorder="1" applyAlignment="1">
      <alignment wrapText="1"/>
    </xf>
    <xf numFmtId="3" fontId="0" fillId="0" borderId="22" xfId="0" applyNumberFormat="1" applyBorder="1"/>
    <xf numFmtId="3" fontId="5" fillId="0" borderId="8" xfId="0" applyNumberFormat="1" applyFont="1" applyBorder="1"/>
    <xf numFmtId="3" fontId="1" fillId="0" borderId="14" xfId="0" applyNumberFormat="1" applyFont="1" applyBorder="1"/>
    <xf numFmtId="3" fontId="1" fillId="0" borderId="17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18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12" xfId="0" applyFont="1" applyBorder="1"/>
    <xf numFmtId="3" fontId="1" fillId="0" borderId="12" xfId="0" applyNumberFormat="1" applyFont="1" applyBorder="1"/>
    <xf numFmtId="3" fontId="0" fillId="0" borderId="20" xfId="0" applyNumberFormat="1" applyBorder="1"/>
    <xf numFmtId="164" fontId="0" fillId="0" borderId="20" xfId="0" applyNumberFormat="1" applyBorder="1" applyAlignment="1">
      <alignment horizontal="center"/>
    </xf>
    <xf numFmtId="3" fontId="3" fillId="0" borderId="17" xfId="0" applyNumberFormat="1" applyFont="1" applyFill="1" applyBorder="1"/>
    <xf numFmtId="3" fontId="0" fillId="0" borderId="17" xfId="0" applyNumberFormat="1" applyFill="1" applyBorder="1"/>
    <xf numFmtId="3" fontId="5" fillId="0" borderId="0" xfId="0" applyNumberFormat="1" applyFont="1" applyFill="1" applyBorder="1" applyAlignment="1">
      <alignment horizontal="left"/>
    </xf>
    <xf numFmtId="0" fontId="0" fillId="0" borderId="15" xfId="0" applyFill="1" applyBorder="1"/>
    <xf numFmtId="3" fontId="1" fillId="3" borderId="1" xfId="0" applyNumberFormat="1" applyFont="1" applyFill="1" applyBorder="1"/>
    <xf numFmtId="3" fontId="0" fillId="0" borderId="12" xfId="0" applyNumberFormat="1" applyBorder="1"/>
    <xf numFmtId="0" fontId="0" fillId="0" borderId="20" xfId="0" applyNumberFormat="1" applyFill="1" applyBorder="1" applyAlignment="1">
      <alignment horizontal="center"/>
    </xf>
    <xf numFmtId="3" fontId="1" fillId="3" borderId="8" xfId="0" applyNumberFormat="1" applyFont="1" applyFill="1" applyBorder="1"/>
    <xf numFmtId="3" fontId="1" fillId="3" borderId="12" xfId="0" applyNumberFormat="1" applyFont="1" applyFill="1" applyBorder="1"/>
    <xf numFmtId="3" fontId="1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/>
    <xf numFmtId="3" fontId="1" fillId="0" borderId="0" xfId="0" applyNumberFormat="1" applyFont="1" applyFill="1" applyBorder="1" applyAlignment="1">
      <alignment horizontal="left"/>
    </xf>
    <xf numFmtId="0" fontId="0" fillId="0" borderId="1" xfId="0" applyBorder="1"/>
    <xf numFmtId="3" fontId="0" fillId="3" borderId="1" xfId="0" applyNumberForma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6" fillId="0" borderId="8" xfId="0" applyNumberFormat="1" applyFont="1" applyBorder="1"/>
    <xf numFmtId="3" fontId="7" fillId="3" borderId="8" xfId="1" applyNumberFormat="1" applyFont="1" applyFill="1" applyBorder="1" applyAlignment="1" applyProtection="1">
      <alignment horizontal="center"/>
    </xf>
    <xf numFmtId="3" fontId="0" fillId="3" borderId="12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4" fontId="1" fillId="3" borderId="8" xfId="0" applyNumberFormat="1" applyFont="1" applyFill="1" applyBorder="1"/>
    <xf numFmtId="3" fontId="3" fillId="0" borderId="19" xfId="0" applyNumberFormat="1" applyFont="1" applyBorder="1"/>
    <xf numFmtId="0" fontId="0" fillId="0" borderId="12" xfId="0" applyBorder="1"/>
    <xf numFmtId="3" fontId="0" fillId="3" borderId="1" xfId="0" applyNumberFormat="1" applyFill="1" applyBorder="1"/>
    <xf numFmtId="3" fontId="1" fillId="3" borderId="23" xfId="0" applyNumberFormat="1" applyFont="1" applyFill="1" applyBorder="1" applyAlignment="1">
      <alignment wrapText="1"/>
    </xf>
    <xf numFmtId="3" fontId="1" fillId="3" borderId="23" xfId="0" applyNumberFormat="1" applyFont="1" applyFill="1" applyBorder="1"/>
    <xf numFmtId="3" fontId="0" fillId="3" borderId="12" xfId="0" applyNumberFormat="1" applyFill="1" applyBorder="1"/>
    <xf numFmtId="3" fontId="1" fillId="3" borderId="20" xfId="0" applyNumberFormat="1" applyFont="1" applyFill="1" applyBorder="1" applyAlignment="1">
      <alignment wrapText="1"/>
    </xf>
    <xf numFmtId="3" fontId="1" fillId="3" borderId="18" xfId="0" applyNumberFormat="1" applyFont="1" applyFill="1" applyBorder="1"/>
    <xf numFmtId="3" fontId="0" fillId="0" borderId="0" xfId="0" applyNumberFormat="1" applyBorder="1"/>
    <xf numFmtId="3" fontId="1" fillId="3" borderId="24" xfId="0" applyNumberFormat="1" applyFont="1" applyFill="1" applyBorder="1" applyAlignment="1">
      <alignment wrapText="1"/>
    </xf>
    <xf numFmtId="10" fontId="1" fillId="3" borderId="12" xfId="0" applyNumberFormat="1" applyFont="1" applyFill="1" applyBorder="1"/>
    <xf numFmtId="10" fontId="1" fillId="0" borderId="0" xfId="0" applyNumberFormat="1" applyFont="1" applyFill="1" applyBorder="1"/>
    <xf numFmtId="3" fontId="2" fillId="0" borderId="0" xfId="0" applyNumberFormat="1" applyFont="1" applyBorder="1"/>
    <xf numFmtId="3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wrapText="1"/>
    </xf>
    <xf numFmtId="3" fontId="4" fillId="0" borderId="1" xfId="0" applyNumberFormat="1" applyFont="1" applyBorder="1"/>
    <xf numFmtId="3" fontId="6" fillId="0" borderId="0" xfId="0" applyNumberFormat="1" applyFont="1" applyFill="1" applyBorder="1" applyAlignment="1">
      <alignment wrapText="1"/>
    </xf>
    <xf numFmtId="3" fontId="3" fillId="0" borderId="20" xfId="0" applyNumberFormat="1" applyFont="1" applyFill="1" applyBorder="1"/>
    <xf numFmtId="3" fontId="3" fillId="0" borderId="0" xfId="0" applyNumberFormat="1" applyFont="1" applyFill="1" applyBorder="1" applyAlignment="1">
      <alignment horizontal="centerContinuous" wrapText="1"/>
    </xf>
    <xf numFmtId="3" fontId="0" fillId="0" borderId="0" xfId="0" applyNumberFormat="1" applyFill="1" applyBorder="1" applyAlignment="1">
      <alignment horizontal="centerContinuous"/>
    </xf>
    <xf numFmtId="10" fontId="5" fillId="0" borderId="0" xfId="0" applyNumberFormat="1" applyFont="1" applyAlignment="1">
      <alignment horizontal="center"/>
    </xf>
    <xf numFmtId="3" fontId="3" fillId="0" borderId="0" xfId="0" applyNumberFormat="1" applyFont="1" applyFill="1" applyBorder="1"/>
    <xf numFmtId="3" fontId="1" fillId="3" borderId="2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25" xfId="0" applyNumberFormat="1" applyFont="1" applyFill="1" applyBorder="1" applyAlignment="1">
      <alignment horizontal="centerContinuous"/>
    </xf>
    <xf numFmtId="3" fontId="0" fillId="3" borderId="26" xfId="0" applyNumberForma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1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/>
    <xf numFmtId="3" fontId="1" fillId="3" borderId="26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left"/>
    </xf>
    <xf numFmtId="10" fontId="8" fillId="0" borderId="0" xfId="0" applyNumberFormat="1" applyFont="1" applyAlignment="1">
      <alignment horizontal="center"/>
    </xf>
    <xf numFmtId="0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Continuous"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0" fillId="0" borderId="8" xfId="0" applyNumberFormat="1" applyFill="1" applyBorder="1" applyAlignment="1">
      <alignment horizontal="center"/>
    </xf>
    <xf numFmtId="9" fontId="0" fillId="0" borderId="8" xfId="0" applyNumberFormat="1" applyBorder="1"/>
    <xf numFmtId="3" fontId="0" fillId="5" borderId="8" xfId="0" applyNumberFormat="1" applyFill="1" applyBorder="1"/>
    <xf numFmtId="3" fontId="0" fillId="5" borderId="8" xfId="0" applyNumberForma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wrapText="1"/>
    </xf>
    <xf numFmtId="3" fontId="0" fillId="5" borderId="18" xfId="0" applyNumberFormat="1" applyFill="1" applyBorder="1"/>
    <xf numFmtId="3" fontId="5" fillId="5" borderId="20" xfId="0" applyNumberFormat="1" applyFont="1" applyFill="1" applyBorder="1"/>
    <xf numFmtId="0" fontId="0" fillId="2" borderId="14" xfId="0" applyNumberFormat="1" applyFill="1" applyBorder="1" applyAlignment="1">
      <alignment horizontal="center"/>
    </xf>
    <xf numFmtId="10" fontId="0" fillId="5" borderId="14" xfId="0" applyNumberFormat="1" applyFill="1" applyBorder="1" applyAlignment="1">
      <alignment horizontal="center"/>
    </xf>
    <xf numFmtId="0" fontId="0" fillId="5" borderId="13" xfId="0" applyFill="1" applyBorder="1"/>
    <xf numFmtId="0" fontId="0" fillId="5" borderId="15" xfId="0" applyFill="1" applyBorder="1"/>
    <xf numFmtId="0" fontId="1" fillId="5" borderId="8" xfId="0" applyFont="1" applyFill="1" applyBorder="1"/>
    <xf numFmtId="3" fontId="1" fillId="5" borderId="8" xfId="0" applyNumberFormat="1" applyFont="1" applyFill="1" applyBorder="1"/>
    <xf numFmtId="3" fontId="0" fillId="5" borderId="17" xfId="0" applyNumberFormat="1" applyFill="1" applyBorder="1"/>
    <xf numFmtId="3" fontId="0" fillId="6" borderId="18" xfId="0" applyNumberFormat="1" applyFill="1" applyBorder="1"/>
    <xf numFmtId="3" fontId="0" fillId="6" borderId="0" xfId="0" applyNumberFormat="1" applyFill="1"/>
    <xf numFmtId="3" fontId="0" fillId="5" borderId="0" xfId="0" applyNumberFormat="1" applyFill="1"/>
    <xf numFmtId="3" fontId="9" fillId="0" borderId="0" xfId="0" applyNumberFormat="1" applyFont="1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  <xf numFmtId="3" fontId="9" fillId="5" borderId="0" xfId="0" applyNumberFormat="1" applyFont="1" applyFill="1" applyBorder="1" applyAlignment="1">
      <alignment horizontal="left"/>
    </xf>
    <xf numFmtId="4" fontId="0" fillId="0" borderId="0" xfId="0" applyNumberFormat="1"/>
    <xf numFmtId="165" fontId="0" fillId="0" borderId="0" xfId="0" applyNumberFormat="1"/>
    <xf numFmtId="4" fontId="0" fillId="4" borderId="0" xfId="0" applyNumberFormat="1" applyFill="1"/>
    <xf numFmtId="4" fontId="1" fillId="0" borderId="0" xfId="0" applyNumberFormat="1" applyFont="1"/>
    <xf numFmtId="4" fontId="0" fillId="7" borderId="0" xfId="0" applyNumberFormat="1" applyFill="1"/>
    <xf numFmtId="3" fontId="0" fillId="5" borderId="19" xfId="0" applyNumberFormat="1" applyFill="1" applyBorder="1"/>
    <xf numFmtId="3" fontId="1" fillId="5" borderId="8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left"/>
    </xf>
    <xf numFmtId="4" fontId="0" fillId="5" borderId="0" xfId="0" applyNumberFormat="1" applyFill="1"/>
    <xf numFmtId="10" fontId="0" fillId="5" borderId="0" xfId="0" applyNumberFormat="1" applyFill="1"/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4" fillId="5" borderId="0" xfId="0" applyNumberFormat="1" applyFont="1" applyFill="1" applyAlignment="1">
      <alignment horizontal="right"/>
    </xf>
    <xf numFmtId="3" fontId="10" fillId="5" borderId="0" xfId="0" applyNumberFormat="1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53A5-39FF-7C4C-87CD-EE7F5327AC41}">
  <dimension ref="A1:AK93"/>
  <sheetViews>
    <sheetView tabSelected="1" workbookViewId="0">
      <selection activeCell="A12" sqref="A12"/>
    </sheetView>
  </sheetViews>
  <sheetFormatPr baseColWidth="10" defaultColWidth="11.5" defaultRowHeight="16" x14ac:dyDescent="0.2"/>
  <cols>
    <col min="1" max="1" width="75.83203125" style="1" customWidth="1"/>
    <col min="2" max="2" width="76.5" style="2" customWidth="1"/>
    <col min="3" max="3" width="43.6640625" style="3" bestFit="1" customWidth="1"/>
    <col min="4" max="4" width="10.5" style="3" bestFit="1" customWidth="1"/>
    <col min="5" max="6" width="10.5" style="3" customWidth="1"/>
    <col min="7" max="7" width="4.5" style="153" customWidth="1"/>
    <col min="8" max="8" width="10.5" style="6" bestFit="1" customWidth="1"/>
    <col min="9" max="9" width="60.83203125" style="3" bestFit="1" customWidth="1"/>
    <col min="10" max="10" width="13" style="3" bestFit="1" customWidth="1"/>
    <col min="11" max="12" width="10.5" style="3" customWidth="1"/>
    <col min="13" max="13" width="3.5" style="3" customWidth="1"/>
    <col min="14" max="14" width="47.1640625" style="3" bestFit="1" customWidth="1"/>
    <col min="15" max="15" width="13.1640625" style="3" customWidth="1"/>
    <col min="16" max="16" width="12.6640625" style="3" bestFit="1" customWidth="1"/>
    <col min="17" max="17" width="9.5" style="3" bestFit="1" customWidth="1"/>
    <col min="18" max="18" width="8.83203125" style="3" bestFit="1" customWidth="1"/>
    <col min="19" max="19" width="4.83203125" style="3" customWidth="1"/>
    <col min="20" max="20" width="46.5" style="3" bestFit="1" customWidth="1"/>
    <col min="21" max="21" width="7.5" style="3" bestFit="1" customWidth="1"/>
    <col min="22" max="22" width="6.83203125" style="3" customWidth="1"/>
    <col min="23" max="24" width="7.5" style="3" bestFit="1" customWidth="1"/>
    <col min="25" max="25" width="7" style="3" bestFit="1" customWidth="1"/>
    <col min="26" max="27" width="7.5" style="3" bestFit="1" customWidth="1"/>
    <col min="28" max="28" width="7.1640625" style="3" bestFit="1" customWidth="1"/>
    <col min="29" max="29" width="7.5" style="3" bestFit="1" customWidth="1"/>
    <col min="30" max="30" width="4.83203125" style="3" customWidth="1"/>
    <col min="31" max="31" width="6" style="7" bestFit="1" customWidth="1"/>
    <col min="32" max="32" width="33.33203125" bestFit="1" customWidth="1"/>
    <col min="33" max="33" width="21.83203125" bestFit="1" customWidth="1"/>
    <col min="34" max="36" width="12.1640625" bestFit="1" customWidth="1"/>
    <col min="37" max="37" width="10.83203125" customWidth="1"/>
    <col min="38" max="256" width="11.5" style="3"/>
    <col min="257" max="257" width="75.83203125" style="3" customWidth="1"/>
    <col min="258" max="258" width="76.5" style="3" customWidth="1"/>
    <col min="259" max="259" width="43.6640625" style="3" bestFit="1" customWidth="1"/>
    <col min="260" max="260" width="10.5" style="3" bestFit="1" customWidth="1"/>
    <col min="261" max="262" width="10.5" style="3" customWidth="1"/>
    <col min="263" max="263" width="4.5" style="3" customWidth="1"/>
    <col min="264" max="264" width="10.5" style="3" bestFit="1" customWidth="1"/>
    <col min="265" max="265" width="60.83203125" style="3" bestFit="1" customWidth="1"/>
    <col min="266" max="266" width="13" style="3" bestFit="1" customWidth="1"/>
    <col min="267" max="268" width="10.5" style="3" customWidth="1"/>
    <col min="269" max="269" width="3.5" style="3" customWidth="1"/>
    <col min="270" max="270" width="47.1640625" style="3" bestFit="1" customWidth="1"/>
    <col min="271" max="271" width="13.1640625" style="3" customWidth="1"/>
    <col min="272" max="272" width="12.6640625" style="3" bestFit="1" customWidth="1"/>
    <col min="273" max="273" width="9.5" style="3" bestFit="1" customWidth="1"/>
    <col min="274" max="274" width="8.83203125" style="3" bestFit="1" customWidth="1"/>
    <col min="275" max="275" width="4.83203125" style="3" customWidth="1"/>
    <col min="276" max="276" width="46.5" style="3" bestFit="1" customWidth="1"/>
    <col min="277" max="277" width="7.5" style="3" bestFit="1" customWidth="1"/>
    <col min="278" max="278" width="6.83203125" style="3" customWidth="1"/>
    <col min="279" max="280" width="7.5" style="3" bestFit="1" customWidth="1"/>
    <col min="281" max="281" width="7" style="3" bestFit="1" customWidth="1"/>
    <col min="282" max="283" width="7.5" style="3" bestFit="1" customWidth="1"/>
    <col min="284" max="284" width="7.1640625" style="3" bestFit="1" customWidth="1"/>
    <col min="285" max="285" width="7.5" style="3" bestFit="1" customWidth="1"/>
    <col min="286" max="286" width="4.83203125" style="3" customWidth="1"/>
    <col min="287" max="287" width="6" style="3" bestFit="1" customWidth="1"/>
    <col min="288" max="288" width="33.33203125" style="3" bestFit="1" customWidth="1"/>
    <col min="289" max="289" width="19.6640625" style="3" customWidth="1"/>
    <col min="290" max="292" width="12.1640625" style="3" bestFit="1" customWidth="1"/>
    <col min="293" max="293" width="10.83203125" style="3" customWidth="1"/>
    <col min="294" max="512" width="11.5" style="3"/>
    <col min="513" max="513" width="75.83203125" style="3" customWidth="1"/>
    <col min="514" max="514" width="76.5" style="3" customWidth="1"/>
    <col min="515" max="515" width="43.6640625" style="3" bestFit="1" customWidth="1"/>
    <col min="516" max="516" width="10.5" style="3" bestFit="1" customWidth="1"/>
    <col min="517" max="518" width="10.5" style="3" customWidth="1"/>
    <col min="519" max="519" width="4.5" style="3" customWidth="1"/>
    <col min="520" max="520" width="10.5" style="3" bestFit="1" customWidth="1"/>
    <col min="521" max="521" width="60.83203125" style="3" bestFit="1" customWidth="1"/>
    <col min="522" max="522" width="13" style="3" bestFit="1" customWidth="1"/>
    <col min="523" max="524" width="10.5" style="3" customWidth="1"/>
    <col min="525" max="525" width="3.5" style="3" customWidth="1"/>
    <col min="526" max="526" width="47.1640625" style="3" bestFit="1" customWidth="1"/>
    <col min="527" max="527" width="13.1640625" style="3" customWidth="1"/>
    <col min="528" max="528" width="12.6640625" style="3" bestFit="1" customWidth="1"/>
    <col min="529" max="529" width="9.5" style="3" bestFit="1" customWidth="1"/>
    <col min="530" max="530" width="8.83203125" style="3" bestFit="1" customWidth="1"/>
    <col min="531" max="531" width="4.83203125" style="3" customWidth="1"/>
    <col min="532" max="532" width="46.5" style="3" bestFit="1" customWidth="1"/>
    <col min="533" max="533" width="7.5" style="3" bestFit="1" customWidth="1"/>
    <col min="534" max="534" width="6.83203125" style="3" customWidth="1"/>
    <col min="535" max="536" width="7.5" style="3" bestFit="1" customWidth="1"/>
    <col min="537" max="537" width="7" style="3" bestFit="1" customWidth="1"/>
    <col min="538" max="539" width="7.5" style="3" bestFit="1" customWidth="1"/>
    <col min="540" max="540" width="7.1640625" style="3" bestFit="1" customWidth="1"/>
    <col min="541" max="541" width="7.5" style="3" bestFit="1" customWidth="1"/>
    <col min="542" max="542" width="4.83203125" style="3" customWidth="1"/>
    <col min="543" max="543" width="6" style="3" bestFit="1" customWidth="1"/>
    <col min="544" max="544" width="33.33203125" style="3" bestFit="1" customWidth="1"/>
    <col min="545" max="545" width="19.6640625" style="3" customWidth="1"/>
    <col min="546" max="548" width="12.1640625" style="3" bestFit="1" customWidth="1"/>
    <col min="549" max="549" width="10.83203125" style="3" customWidth="1"/>
    <col min="550" max="768" width="11.5" style="3"/>
    <col min="769" max="769" width="75.83203125" style="3" customWidth="1"/>
    <col min="770" max="770" width="76.5" style="3" customWidth="1"/>
    <col min="771" max="771" width="43.6640625" style="3" bestFit="1" customWidth="1"/>
    <col min="772" max="772" width="10.5" style="3" bestFit="1" customWidth="1"/>
    <col min="773" max="774" width="10.5" style="3" customWidth="1"/>
    <col min="775" max="775" width="4.5" style="3" customWidth="1"/>
    <col min="776" max="776" width="10.5" style="3" bestFit="1" customWidth="1"/>
    <col min="777" max="777" width="60.83203125" style="3" bestFit="1" customWidth="1"/>
    <col min="778" max="778" width="13" style="3" bestFit="1" customWidth="1"/>
    <col min="779" max="780" width="10.5" style="3" customWidth="1"/>
    <col min="781" max="781" width="3.5" style="3" customWidth="1"/>
    <col min="782" max="782" width="47.1640625" style="3" bestFit="1" customWidth="1"/>
    <col min="783" max="783" width="13.1640625" style="3" customWidth="1"/>
    <col min="784" max="784" width="12.6640625" style="3" bestFit="1" customWidth="1"/>
    <col min="785" max="785" width="9.5" style="3" bestFit="1" customWidth="1"/>
    <col min="786" max="786" width="8.83203125" style="3" bestFit="1" customWidth="1"/>
    <col min="787" max="787" width="4.83203125" style="3" customWidth="1"/>
    <col min="788" max="788" width="46.5" style="3" bestFit="1" customWidth="1"/>
    <col min="789" max="789" width="7.5" style="3" bestFit="1" customWidth="1"/>
    <col min="790" max="790" width="6.83203125" style="3" customWidth="1"/>
    <col min="791" max="792" width="7.5" style="3" bestFit="1" customWidth="1"/>
    <col min="793" max="793" width="7" style="3" bestFit="1" customWidth="1"/>
    <col min="794" max="795" width="7.5" style="3" bestFit="1" customWidth="1"/>
    <col min="796" max="796" width="7.1640625" style="3" bestFit="1" customWidth="1"/>
    <col min="797" max="797" width="7.5" style="3" bestFit="1" customWidth="1"/>
    <col min="798" max="798" width="4.83203125" style="3" customWidth="1"/>
    <col min="799" max="799" width="6" style="3" bestFit="1" customWidth="1"/>
    <col min="800" max="800" width="33.33203125" style="3" bestFit="1" customWidth="1"/>
    <col min="801" max="801" width="19.6640625" style="3" customWidth="1"/>
    <col min="802" max="804" width="12.1640625" style="3" bestFit="1" customWidth="1"/>
    <col min="805" max="805" width="10.83203125" style="3" customWidth="1"/>
    <col min="806" max="1024" width="11.5" style="3"/>
    <col min="1025" max="1025" width="75.83203125" style="3" customWidth="1"/>
    <col min="1026" max="1026" width="76.5" style="3" customWidth="1"/>
    <col min="1027" max="1027" width="43.6640625" style="3" bestFit="1" customWidth="1"/>
    <col min="1028" max="1028" width="10.5" style="3" bestFit="1" customWidth="1"/>
    <col min="1029" max="1030" width="10.5" style="3" customWidth="1"/>
    <col min="1031" max="1031" width="4.5" style="3" customWidth="1"/>
    <col min="1032" max="1032" width="10.5" style="3" bestFit="1" customWidth="1"/>
    <col min="1033" max="1033" width="60.83203125" style="3" bestFit="1" customWidth="1"/>
    <col min="1034" max="1034" width="13" style="3" bestFit="1" customWidth="1"/>
    <col min="1035" max="1036" width="10.5" style="3" customWidth="1"/>
    <col min="1037" max="1037" width="3.5" style="3" customWidth="1"/>
    <col min="1038" max="1038" width="47.1640625" style="3" bestFit="1" customWidth="1"/>
    <col min="1039" max="1039" width="13.1640625" style="3" customWidth="1"/>
    <col min="1040" max="1040" width="12.6640625" style="3" bestFit="1" customWidth="1"/>
    <col min="1041" max="1041" width="9.5" style="3" bestFit="1" customWidth="1"/>
    <col min="1042" max="1042" width="8.83203125" style="3" bestFit="1" customWidth="1"/>
    <col min="1043" max="1043" width="4.83203125" style="3" customWidth="1"/>
    <col min="1044" max="1044" width="46.5" style="3" bestFit="1" customWidth="1"/>
    <col min="1045" max="1045" width="7.5" style="3" bestFit="1" customWidth="1"/>
    <col min="1046" max="1046" width="6.83203125" style="3" customWidth="1"/>
    <col min="1047" max="1048" width="7.5" style="3" bestFit="1" customWidth="1"/>
    <col min="1049" max="1049" width="7" style="3" bestFit="1" customWidth="1"/>
    <col min="1050" max="1051" width="7.5" style="3" bestFit="1" customWidth="1"/>
    <col min="1052" max="1052" width="7.1640625" style="3" bestFit="1" customWidth="1"/>
    <col min="1053" max="1053" width="7.5" style="3" bestFit="1" customWidth="1"/>
    <col min="1054" max="1054" width="4.83203125" style="3" customWidth="1"/>
    <col min="1055" max="1055" width="6" style="3" bestFit="1" customWidth="1"/>
    <col min="1056" max="1056" width="33.33203125" style="3" bestFit="1" customWidth="1"/>
    <col min="1057" max="1057" width="19.6640625" style="3" customWidth="1"/>
    <col min="1058" max="1060" width="12.1640625" style="3" bestFit="1" customWidth="1"/>
    <col min="1061" max="1061" width="10.83203125" style="3" customWidth="1"/>
    <col min="1062" max="1280" width="11.5" style="3"/>
    <col min="1281" max="1281" width="75.83203125" style="3" customWidth="1"/>
    <col min="1282" max="1282" width="76.5" style="3" customWidth="1"/>
    <col min="1283" max="1283" width="43.6640625" style="3" bestFit="1" customWidth="1"/>
    <col min="1284" max="1284" width="10.5" style="3" bestFit="1" customWidth="1"/>
    <col min="1285" max="1286" width="10.5" style="3" customWidth="1"/>
    <col min="1287" max="1287" width="4.5" style="3" customWidth="1"/>
    <col min="1288" max="1288" width="10.5" style="3" bestFit="1" customWidth="1"/>
    <col min="1289" max="1289" width="60.83203125" style="3" bestFit="1" customWidth="1"/>
    <col min="1290" max="1290" width="13" style="3" bestFit="1" customWidth="1"/>
    <col min="1291" max="1292" width="10.5" style="3" customWidth="1"/>
    <col min="1293" max="1293" width="3.5" style="3" customWidth="1"/>
    <col min="1294" max="1294" width="47.1640625" style="3" bestFit="1" customWidth="1"/>
    <col min="1295" max="1295" width="13.1640625" style="3" customWidth="1"/>
    <col min="1296" max="1296" width="12.6640625" style="3" bestFit="1" customWidth="1"/>
    <col min="1297" max="1297" width="9.5" style="3" bestFit="1" customWidth="1"/>
    <col min="1298" max="1298" width="8.83203125" style="3" bestFit="1" customWidth="1"/>
    <col min="1299" max="1299" width="4.83203125" style="3" customWidth="1"/>
    <col min="1300" max="1300" width="46.5" style="3" bestFit="1" customWidth="1"/>
    <col min="1301" max="1301" width="7.5" style="3" bestFit="1" customWidth="1"/>
    <col min="1302" max="1302" width="6.83203125" style="3" customWidth="1"/>
    <col min="1303" max="1304" width="7.5" style="3" bestFit="1" customWidth="1"/>
    <col min="1305" max="1305" width="7" style="3" bestFit="1" customWidth="1"/>
    <col min="1306" max="1307" width="7.5" style="3" bestFit="1" customWidth="1"/>
    <col min="1308" max="1308" width="7.1640625" style="3" bestFit="1" customWidth="1"/>
    <col min="1309" max="1309" width="7.5" style="3" bestFit="1" customWidth="1"/>
    <col min="1310" max="1310" width="4.83203125" style="3" customWidth="1"/>
    <col min="1311" max="1311" width="6" style="3" bestFit="1" customWidth="1"/>
    <col min="1312" max="1312" width="33.33203125" style="3" bestFit="1" customWidth="1"/>
    <col min="1313" max="1313" width="19.6640625" style="3" customWidth="1"/>
    <col min="1314" max="1316" width="12.1640625" style="3" bestFit="1" customWidth="1"/>
    <col min="1317" max="1317" width="10.83203125" style="3" customWidth="1"/>
    <col min="1318" max="1536" width="11.5" style="3"/>
    <col min="1537" max="1537" width="75.83203125" style="3" customWidth="1"/>
    <col min="1538" max="1538" width="76.5" style="3" customWidth="1"/>
    <col min="1539" max="1539" width="43.6640625" style="3" bestFit="1" customWidth="1"/>
    <col min="1540" max="1540" width="10.5" style="3" bestFit="1" customWidth="1"/>
    <col min="1541" max="1542" width="10.5" style="3" customWidth="1"/>
    <col min="1543" max="1543" width="4.5" style="3" customWidth="1"/>
    <col min="1544" max="1544" width="10.5" style="3" bestFit="1" customWidth="1"/>
    <col min="1545" max="1545" width="60.83203125" style="3" bestFit="1" customWidth="1"/>
    <col min="1546" max="1546" width="13" style="3" bestFit="1" customWidth="1"/>
    <col min="1547" max="1548" width="10.5" style="3" customWidth="1"/>
    <col min="1549" max="1549" width="3.5" style="3" customWidth="1"/>
    <col min="1550" max="1550" width="47.1640625" style="3" bestFit="1" customWidth="1"/>
    <col min="1551" max="1551" width="13.1640625" style="3" customWidth="1"/>
    <col min="1552" max="1552" width="12.6640625" style="3" bestFit="1" customWidth="1"/>
    <col min="1553" max="1553" width="9.5" style="3" bestFit="1" customWidth="1"/>
    <col min="1554" max="1554" width="8.83203125" style="3" bestFit="1" customWidth="1"/>
    <col min="1555" max="1555" width="4.83203125" style="3" customWidth="1"/>
    <col min="1556" max="1556" width="46.5" style="3" bestFit="1" customWidth="1"/>
    <col min="1557" max="1557" width="7.5" style="3" bestFit="1" customWidth="1"/>
    <col min="1558" max="1558" width="6.83203125" style="3" customWidth="1"/>
    <col min="1559" max="1560" width="7.5" style="3" bestFit="1" customWidth="1"/>
    <col min="1561" max="1561" width="7" style="3" bestFit="1" customWidth="1"/>
    <col min="1562" max="1563" width="7.5" style="3" bestFit="1" customWidth="1"/>
    <col min="1564" max="1564" width="7.1640625" style="3" bestFit="1" customWidth="1"/>
    <col min="1565" max="1565" width="7.5" style="3" bestFit="1" customWidth="1"/>
    <col min="1566" max="1566" width="4.83203125" style="3" customWidth="1"/>
    <col min="1567" max="1567" width="6" style="3" bestFit="1" customWidth="1"/>
    <col min="1568" max="1568" width="33.33203125" style="3" bestFit="1" customWidth="1"/>
    <col min="1569" max="1569" width="19.6640625" style="3" customWidth="1"/>
    <col min="1570" max="1572" width="12.1640625" style="3" bestFit="1" customWidth="1"/>
    <col min="1573" max="1573" width="10.83203125" style="3" customWidth="1"/>
    <col min="1574" max="1792" width="11.5" style="3"/>
    <col min="1793" max="1793" width="75.83203125" style="3" customWidth="1"/>
    <col min="1794" max="1794" width="76.5" style="3" customWidth="1"/>
    <col min="1795" max="1795" width="43.6640625" style="3" bestFit="1" customWidth="1"/>
    <col min="1796" max="1796" width="10.5" style="3" bestFit="1" customWidth="1"/>
    <col min="1797" max="1798" width="10.5" style="3" customWidth="1"/>
    <col min="1799" max="1799" width="4.5" style="3" customWidth="1"/>
    <col min="1800" max="1800" width="10.5" style="3" bestFit="1" customWidth="1"/>
    <col min="1801" max="1801" width="60.83203125" style="3" bestFit="1" customWidth="1"/>
    <col min="1802" max="1802" width="13" style="3" bestFit="1" customWidth="1"/>
    <col min="1803" max="1804" width="10.5" style="3" customWidth="1"/>
    <col min="1805" max="1805" width="3.5" style="3" customWidth="1"/>
    <col min="1806" max="1806" width="47.1640625" style="3" bestFit="1" customWidth="1"/>
    <col min="1807" max="1807" width="13.1640625" style="3" customWidth="1"/>
    <col min="1808" max="1808" width="12.6640625" style="3" bestFit="1" customWidth="1"/>
    <col min="1809" max="1809" width="9.5" style="3" bestFit="1" customWidth="1"/>
    <col min="1810" max="1810" width="8.83203125" style="3" bestFit="1" customWidth="1"/>
    <col min="1811" max="1811" width="4.83203125" style="3" customWidth="1"/>
    <col min="1812" max="1812" width="46.5" style="3" bestFit="1" customWidth="1"/>
    <col min="1813" max="1813" width="7.5" style="3" bestFit="1" customWidth="1"/>
    <col min="1814" max="1814" width="6.83203125" style="3" customWidth="1"/>
    <col min="1815" max="1816" width="7.5" style="3" bestFit="1" customWidth="1"/>
    <col min="1817" max="1817" width="7" style="3" bestFit="1" customWidth="1"/>
    <col min="1818" max="1819" width="7.5" style="3" bestFit="1" customWidth="1"/>
    <col min="1820" max="1820" width="7.1640625" style="3" bestFit="1" customWidth="1"/>
    <col min="1821" max="1821" width="7.5" style="3" bestFit="1" customWidth="1"/>
    <col min="1822" max="1822" width="4.83203125" style="3" customWidth="1"/>
    <col min="1823" max="1823" width="6" style="3" bestFit="1" customWidth="1"/>
    <col min="1824" max="1824" width="33.33203125" style="3" bestFit="1" customWidth="1"/>
    <col min="1825" max="1825" width="19.6640625" style="3" customWidth="1"/>
    <col min="1826" max="1828" width="12.1640625" style="3" bestFit="1" customWidth="1"/>
    <col min="1829" max="1829" width="10.83203125" style="3" customWidth="1"/>
    <col min="1830" max="2048" width="11.5" style="3"/>
    <col min="2049" max="2049" width="75.83203125" style="3" customWidth="1"/>
    <col min="2050" max="2050" width="76.5" style="3" customWidth="1"/>
    <col min="2051" max="2051" width="43.6640625" style="3" bestFit="1" customWidth="1"/>
    <col min="2052" max="2052" width="10.5" style="3" bestFit="1" customWidth="1"/>
    <col min="2053" max="2054" width="10.5" style="3" customWidth="1"/>
    <col min="2055" max="2055" width="4.5" style="3" customWidth="1"/>
    <col min="2056" max="2056" width="10.5" style="3" bestFit="1" customWidth="1"/>
    <col min="2057" max="2057" width="60.83203125" style="3" bestFit="1" customWidth="1"/>
    <col min="2058" max="2058" width="13" style="3" bestFit="1" customWidth="1"/>
    <col min="2059" max="2060" width="10.5" style="3" customWidth="1"/>
    <col min="2061" max="2061" width="3.5" style="3" customWidth="1"/>
    <col min="2062" max="2062" width="47.1640625" style="3" bestFit="1" customWidth="1"/>
    <col min="2063" max="2063" width="13.1640625" style="3" customWidth="1"/>
    <col min="2064" max="2064" width="12.6640625" style="3" bestFit="1" customWidth="1"/>
    <col min="2065" max="2065" width="9.5" style="3" bestFit="1" customWidth="1"/>
    <col min="2066" max="2066" width="8.83203125" style="3" bestFit="1" customWidth="1"/>
    <col min="2067" max="2067" width="4.83203125" style="3" customWidth="1"/>
    <col min="2068" max="2068" width="46.5" style="3" bestFit="1" customWidth="1"/>
    <col min="2069" max="2069" width="7.5" style="3" bestFit="1" customWidth="1"/>
    <col min="2070" max="2070" width="6.83203125" style="3" customWidth="1"/>
    <col min="2071" max="2072" width="7.5" style="3" bestFit="1" customWidth="1"/>
    <col min="2073" max="2073" width="7" style="3" bestFit="1" customWidth="1"/>
    <col min="2074" max="2075" width="7.5" style="3" bestFit="1" customWidth="1"/>
    <col min="2076" max="2076" width="7.1640625" style="3" bestFit="1" customWidth="1"/>
    <col min="2077" max="2077" width="7.5" style="3" bestFit="1" customWidth="1"/>
    <col min="2078" max="2078" width="4.83203125" style="3" customWidth="1"/>
    <col min="2079" max="2079" width="6" style="3" bestFit="1" customWidth="1"/>
    <col min="2080" max="2080" width="33.33203125" style="3" bestFit="1" customWidth="1"/>
    <col min="2081" max="2081" width="19.6640625" style="3" customWidth="1"/>
    <col min="2082" max="2084" width="12.1640625" style="3" bestFit="1" customWidth="1"/>
    <col min="2085" max="2085" width="10.83203125" style="3" customWidth="1"/>
    <col min="2086" max="2304" width="11.5" style="3"/>
    <col min="2305" max="2305" width="75.83203125" style="3" customWidth="1"/>
    <col min="2306" max="2306" width="76.5" style="3" customWidth="1"/>
    <col min="2307" max="2307" width="43.6640625" style="3" bestFit="1" customWidth="1"/>
    <col min="2308" max="2308" width="10.5" style="3" bestFit="1" customWidth="1"/>
    <col min="2309" max="2310" width="10.5" style="3" customWidth="1"/>
    <col min="2311" max="2311" width="4.5" style="3" customWidth="1"/>
    <col min="2312" max="2312" width="10.5" style="3" bestFit="1" customWidth="1"/>
    <col min="2313" max="2313" width="60.83203125" style="3" bestFit="1" customWidth="1"/>
    <col min="2314" max="2314" width="13" style="3" bestFit="1" customWidth="1"/>
    <col min="2315" max="2316" width="10.5" style="3" customWidth="1"/>
    <col min="2317" max="2317" width="3.5" style="3" customWidth="1"/>
    <col min="2318" max="2318" width="47.1640625" style="3" bestFit="1" customWidth="1"/>
    <col min="2319" max="2319" width="13.1640625" style="3" customWidth="1"/>
    <col min="2320" max="2320" width="12.6640625" style="3" bestFit="1" customWidth="1"/>
    <col min="2321" max="2321" width="9.5" style="3" bestFit="1" customWidth="1"/>
    <col min="2322" max="2322" width="8.83203125" style="3" bestFit="1" customWidth="1"/>
    <col min="2323" max="2323" width="4.83203125" style="3" customWidth="1"/>
    <col min="2324" max="2324" width="46.5" style="3" bestFit="1" customWidth="1"/>
    <col min="2325" max="2325" width="7.5" style="3" bestFit="1" customWidth="1"/>
    <col min="2326" max="2326" width="6.83203125" style="3" customWidth="1"/>
    <col min="2327" max="2328" width="7.5" style="3" bestFit="1" customWidth="1"/>
    <col min="2329" max="2329" width="7" style="3" bestFit="1" customWidth="1"/>
    <col min="2330" max="2331" width="7.5" style="3" bestFit="1" customWidth="1"/>
    <col min="2332" max="2332" width="7.1640625" style="3" bestFit="1" customWidth="1"/>
    <col min="2333" max="2333" width="7.5" style="3" bestFit="1" customWidth="1"/>
    <col min="2334" max="2334" width="4.83203125" style="3" customWidth="1"/>
    <col min="2335" max="2335" width="6" style="3" bestFit="1" customWidth="1"/>
    <col min="2336" max="2336" width="33.33203125" style="3" bestFit="1" customWidth="1"/>
    <col min="2337" max="2337" width="19.6640625" style="3" customWidth="1"/>
    <col min="2338" max="2340" width="12.1640625" style="3" bestFit="1" customWidth="1"/>
    <col min="2341" max="2341" width="10.83203125" style="3" customWidth="1"/>
    <col min="2342" max="2560" width="11.5" style="3"/>
    <col min="2561" max="2561" width="75.83203125" style="3" customWidth="1"/>
    <col min="2562" max="2562" width="76.5" style="3" customWidth="1"/>
    <col min="2563" max="2563" width="43.6640625" style="3" bestFit="1" customWidth="1"/>
    <col min="2564" max="2564" width="10.5" style="3" bestFit="1" customWidth="1"/>
    <col min="2565" max="2566" width="10.5" style="3" customWidth="1"/>
    <col min="2567" max="2567" width="4.5" style="3" customWidth="1"/>
    <col min="2568" max="2568" width="10.5" style="3" bestFit="1" customWidth="1"/>
    <col min="2569" max="2569" width="60.83203125" style="3" bestFit="1" customWidth="1"/>
    <col min="2570" max="2570" width="13" style="3" bestFit="1" customWidth="1"/>
    <col min="2571" max="2572" width="10.5" style="3" customWidth="1"/>
    <col min="2573" max="2573" width="3.5" style="3" customWidth="1"/>
    <col min="2574" max="2574" width="47.1640625" style="3" bestFit="1" customWidth="1"/>
    <col min="2575" max="2575" width="13.1640625" style="3" customWidth="1"/>
    <col min="2576" max="2576" width="12.6640625" style="3" bestFit="1" customWidth="1"/>
    <col min="2577" max="2577" width="9.5" style="3" bestFit="1" customWidth="1"/>
    <col min="2578" max="2578" width="8.83203125" style="3" bestFit="1" customWidth="1"/>
    <col min="2579" max="2579" width="4.83203125" style="3" customWidth="1"/>
    <col min="2580" max="2580" width="46.5" style="3" bestFit="1" customWidth="1"/>
    <col min="2581" max="2581" width="7.5" style="3" bestFit="1" customWidth="1"/>
    <col min="2582" max="2582" width="6.83203125" style="3" customWidth="1"/>
    <col min="2583" max="2584" width="7.5" style="3" bestFit="1" customWidth="1"/>
    <col min="2585" max="2585" width="7" style="3" bestFit="1" customWidth="1"/>
    <col min="2586" max="2587" width="7.5" style="3" bestFit="1" customWidth="1"/>
    <col min="2588" max="2588" width="7.1640625" style="3" bestFit="1" customWidth="1"/>
    <col min="2589" max="2589" width="7.5" style="3" bestFit="1" customWidth="1"/>
    <col min="2590" max="2590" width="4.83203125" style="3" customWidth="1"/>
    <col min="2591" max="2591" width="6" style="3" bestFit="1" customWidth="1"/>
    <col min="2592" max="2592" width="33.33203125" style="3" bestFit="1" customWidth="1"/>
    <col min="2593" max="2593" width="19.6640625" style="3" customWidth="1"/>
    <col min="2594" max="2596" width="12.1640625" style="3" bestFit="1" customWidth="1"/>
    <col min="2597" max="2597" width="10.83203125" style="3" customWidth="1"/>
    <col min="2598" max="2816" width="11.5" style="3"/>
    <col min="2817" max="2817" width="75.83203125" style="3" customWidth="1"/>
    <col min="2818" max="2818" width="76.5" style="3" customWidth="1"/>
    <col min="2819" max="2819" width="43.6640625" style="3" bestFit="1" customWidth="1"/>
    <col min="2820" max="2820" width="10.5" style="3" bestFit="1" customWidth="1"/>
    <col min="2821" max="2822" width="10.5" style="3" customWidth="1"/>
    <col min="2823" max="2823" width="4.5" style="3" customWidth="1"/>
    <col min="2824" max="2824" width="10.5" style="3" bestFit="1" customWidth="1"/>
    <col min="2825" max="2825" width="60.83203125" style="3" bestFit="1" customWidth="1"/>
    <col min="2826" max="2826" width="13" style="3" bestFit="1" customWidth="1"/>
    <col min="2827" max="2828" width="10.5" style="3" customWidth="1"/>
    <col min="2829" max="2829" width="3.5" style="3" customWidth="1"/>
    <col min="2830" max="2830" width="47.1640625" style="3" bestFit="1" customWidth="1"/>
    <col min="2831" max="2831" width="13.1640625" style="3" customWidth="1"/>
    <col min="2832" max="2832" width="12.6640625" style="3" bestFit="1" customWidth="1"/>
    <col min="2833" max="2833" width="9.5" style="3" bestFit="1" customWidth="1"/>
    <col min="2834" max="2834" width="8.83203125" style="3" bestFit="1" customWidth="1"/>
    <col min="2835" max="2835" width="4.83203125" style="3" customWidth="1"/>
    <col min="2836" max="2836" width="46.5" style="3" bestFit="1" customWidth="1"/>
    <col min="2837" max="2837" width="7.5" style="3" bestFit="1" customWidth="1"/>
    <col min="2838" max="2838" width="6.83203125" style="3" customWidth="1"/>
    <col min="2839" max="2840" width="7.5" style="3" bestFit="1" customWidth="1"/>
    <col min="2841" max="2841" width="7" style="3" bestFit="1" customWidth="1"/>
    <col min="2842" max="2843" width="7.5" style="3" bestFit="1" customWidth="1"/>
    <col min="2844" max="2844" width="7.1640625" style="3" bestFit="1" customWidth="1"/>
    <col min="2845" max="2845" width="7.5" style="3" bestFit="1" customWidth="1"/>
    <col min="2846" max="2846" width="4.83203125" style="3" customWidth="1"/>
    <col min="2847" max="2847" width="6" style="3" bestFit="1" customWidth="1"/>
    <col min="2848" max="2848" width="33.33203125" style="3" bestFit="1" customWidth="1"/>
    <col min="2849" max="2849" width="19.6640625" style="3" customWidth="1"/>
    <col min="2850" max="2852" width="12.1640625" style="3" bestFit="1" customWidth="1"/>
    <col min="2853" max="2853" width="10.83203125" style="3" customWidth="1"/>
    <col min="2854" max="3072" width="11.5" style="3"/>
    <col min="3073" max="3073" width="75.83203125" style="3" customWidth="1"/>
    <col min="3074" max="3074" width="76.5" style="3" customWidth="1"/>
    <col min="3075" max="3075" width="43.6640625" style="3" bestFit="1" customWidth="1"/>
    <col min="3076" max="3076" width="10.5" style="3" bestFit="1" customWidth="1"/>
    <col min="3077" max="3078" width="10.5" style="3" customWidth="1"/>
    <col min="3079" max="3079" width="4.5" style="3" customWidth="1"/>
    <col min="3080" max="3080" width="10.5" style="3" bestFit="1" customWidth="1"/>
    <col min="3081" max="3081" width="60.83203125" style="3" bestFit="1" customWidth="1"/>
    <col min="3082" max="3082" width="13" style="3" bestFit="1" customWidth="1"/>
    <col min="3083" max="3084" width="10.5" style="3" customWidth="1"/>
    <col min="3085" max="3085" width="3.5" style="3" customWidth="1"/>
    <col min="3086" max="3086" width="47.1640625" style="3" bestFit="1" customWidth="1"/>
    <col min="3087" max="3087" width="13.1640625" style="3" customWidth="1"/>
    <col min="3088" max="3088" width="12.6640625" style="3" bestFit="1" customWidth="1"/>
    <col min="3089" max="3089" width="9.5" style="3" bestFit="1" customWidth="1"/>
    <col min="3090" max="3090" width="8.83203125" style="3" bestFit="1" customWidth="1"/>
    <col min="3091" max="3091" width="4.83203125" style="3" customWidth="1"/>
    <col min="3092" max="3092" width="46.5" style="3" bestFit="1" customWidth="1"/>
    <col min="3093" max="3093" width="7.5" style="3" bestFit="1" customWidth="1"/>
    <col min="3094" max="3094" width="6.83203125" style="3" customWidth="1"/>
    <col min="3095" max="3096" width="7.5" style="3" bestFit="1" customWidth="1"/>
    <col min="3097" max="3097" width="7" style="3" bestFit="1" customWidth="1"/>
    <col min="3098" max="3099" width="7.5" style="3" bestFit="1" customWidth="1"/>
    <col min="3100" max="3100" width="7.1640625" style="3" bestFit="1" customWidth="1"/>
    <col min="3101" max="3101" width="7.5" style="3" bestFit="1" customWidth="1"/>
    <col min="3102" max="3102" width="4.83203125" style="3" customWidth="1"/>
    <col min="3103" max="3103" width="6" style="3" bestFit="1" customWidth="1"/>
    <col min="3104" max="3104" width="33.33203125" style="3" bestFit="1" customWidth="1"/>
    <col min="3105" max="3105" width="19.6640625" style="3" customWidth="1"/>
    <col min="3106" max="3108" width="12.1640625" style="3" bestFit="1" customWidth="1"/>
    <col min="3109" max="3109" width="10.83203125" style="3" customWidth="1"/>
    <col min="3110" max="3328" width="11.5" style="3"/>
    <col min="3329" max="3329" width="75.83203125" style="3" customWidth="1"/>
    <col min="3330" max="3330" width="76.5" style="3" customWidth="1"/>
    <col min="3331" max="3331" width="43.6640625" style="3" bestFit="1" customWidth="1"/>
    <col min="3332" max="3332" width="10.5" style="3" bestFit="1" customWidth="1"/>
    <col min="3333" max="3334" width="10.5" style="3" customWidth="1"/>
    <col min="3335" max="3335" width="4.5" style="3" customWidth="1"/>
    <col min="3336" max="3336" width="10.5" style="3" bestFit="1" customWidth="1"/>
    <col min="3337" max="3337" width="60.83203125" style="3" bestFit="1" customWidth="1"/>
    <col min="3338" max="3338" width="13" style="3" bestFit="1" customWidth="1"/>
    <col min="3339" max="3340" width="10.5" style="3" customWidth="1"/>
    <col min="3341" max="3341" width="3.5" style="3" customWidth="1"/>
    <col min="3342" max="3342" width="47.1640625" style="3" bestFit="1" customWidth="1"/>
    <col min="3343" max="3343" width="13.1640625" style="3" customWidth="1"/>
    <col min="3344" max="3344" width="12.6640625" style="3" bestFit="1" customWidth="1"/>
    <col min="3345" max="3345" width="9.5" style="3" bestFit="1" customWidth="1"/>
    <col min="3346" max="3346" width="8.83203125" style="3" bestFit="1" customWidth="1"/>
    <col min="3347" max="3347" width="4.83203125" style="3" customWidth="1"/>
    <col min="3348" max="3348" width="46.5" style="3" bestFit="1" customWidth="1"/>
    <col min="3349" max="3349" width="7.5" style="3" bestFit="1" customWidth="1"/>
    <col min="3350" max="3350" width="6.83203125" style="3" customWidth="1"/>
    <col min="3351" max="3352" width="7.5" style="3" bestFit="1" customWidth="1"/>
    <col min="3353" max="3353" width="7" style="3" bestFit="1" customWidth="1"/>
    <col min="3354" max="3355" width="7.5" style="3" bestFit="1" customWidth="1"/>
    <col min="3356" max="3356" width="7.1640625" style="3" bestFit="1" customWidth="1"/>
    <col min="3357" max="3357" width="7.5" style="3" bestFit="1" customWidth="1"/>
    <col min="3358" max="3358" width="4.83203125" style="3" customWidth="1"/>
    <col min="3359" max="3359" width="6" style="3" bestFit="1" customWidth="1"/>
    <col min="3360" max="3360" width="33.33203125" style="3" bestFit="1" customWidth="1"/>
    <col min="3361" max="3361" width="19.6640625" style="3" customWidth="1"/>
    <col min="3362" max="3364" width="12.1640625" style="3" bestFit="1" customWidth="1"/>
    <col min="3365" max="3365" width="10.83203125" style="3" customWidth="1"/>
    <col min="3366" max="3584" width="11.5" style="3"/>
    <col min="3585" max="3585" width="75.83203125" style="3" customWidth="1"/>
    <col min="3586" max="3586" width="76.5" style="3" customWidth="1"/>
    <col min="3587" max="3587" width="43.6640625" style="3" bestFit="1" customWidth="1"/>
    <col min="3588" max="3588" width="10.5" style="3" bestFit="1" customWidth="1"/>
    <col min="3589" max="3590" width="10.5" style="3" customWidth="1"/>
    <col min="3591" max="3591" width="4.5" style="3" customWidth="1"/>
    <col min="3592" max="3592" width="10.5" style="3" bestFit="1" customWidth="1"/>
    <col min="3593" max="3593" width="60.83203125" style="3" bestFit="1" customWidth="1"/>
    <col min="3594" max="3594" width="13" style="3" bestFit="1" customWidth="1"/>
    <col min="3595" max="3596" width="10.5" style="3" customWidth="1"/>
    <col min="3597" max="3597" width="3.5" style="3" customWidth="1"/>
    <col min="3598" max="3598" width="47.1640625" style="3" bestFit="1" customWidth="1"/>
    <col min="3599" max="3599" width="13.1640625" style="3" customWidth="1"/>
    <col min="3600" max="3600" width="12.6640625" style="3" bestFit="1" customWidth="1"/>
    <col min="3601" max="3601" width="9.5" style="3" bestFit="1" customWidth="1"/>
    <col min="3602" max="3602" width="8.83203125" style="3" bestFit="1" customWidth="1"/>
    <col min="3603" max="3603" width="4.83203125" style="3" customWidth="1"/>
    <col min="3604" max="3604" width="46.5" style="3" bestFit="1" customWidth="1"/>
    <col min="3605" max="3605" width="7.5" style="3" bestFit="1" customWidth="1"/>
    <col min="3606" max="3606" width="6.83203125" style="3" customWidth="1"/>
    <col min="3607" max="3608" width="7.5" style="3" bestFit="1" customWidth="1"/>
    <col min="3609" max="3609" width="7" style="3" bestFit="1" customWidth="1"/>
    <col min="3610" max="3611" width="7.5" style="3" bestFit="1" customWidth="1"/>
    <col min="3612" max="3612" width="7.1640625" style="3" bestFit="1" customWidth="1"/>
    <col min="3613" max="3613" width="7.5" style="3" bestFit="1" customWidth="1"/>
    <col min="3614" max="3614" width="4.83203125" style="3" customWidth="1"/>
    <col min="3615" max="3615" width="6" style="3" bestFit="1" customWidth="1"/>
    <col min="3616" max="3616" width="33.33203125" style="3" bestFit="1" customWidth="1"/>
    <col min="3617" max="3617" width="19.6640625" style="3" customWidth="1"/>
    <col min="3618" max="3620" width="12.1640625" style="3" bestFit="1" customWidth="1"/>
    <col min="3621" max="3621" width="10.83203125" style="3" customWidth="1"/>
    <col min="3622" max="3840" width="11.5" style="3"/>
    <col min="3841" max="3841" width="75.83203125" style="3" customWidth="1"/>
    <col min="3842" max="3842" width="76.5" style="3" customWidth="1"/>
    <col min="3843" max="3843" width="43.6640625" style="3" bestFit="1" customWidth="1"/>
    <col min="3844" max="3844" width="10.5" style="3" bestFit="1" customWidth="1"/>
    <col min="3845" max="3846" width="10.5" style="3" customWidth="1"/>
    <col min="3847" max="3847" width="4.5" style="3" customWidth="1"/>
    <col min="3848" max="3848" width="10.5" style="3" bestFit="1" customWidth="1"/>
    <col min="3849" max="3849" width="60.83203125" style="3" bestFit="1" customWidth="1"/>
    <col min="3850" max="3850" width="13" style="3" bestFit="1" customWidth="1"/>
    <col min="3851" max="3852" width="10.5" style="3" customWidth="1"/>
    <col min="3853" max="3853" width="3.5" style="3" customWidth="1"/>
    <col min="3854" max="3854" width="47.1640625" style="3" bestFit="1" customWidth="1"/>
    <col min="3855" max="3855" width="13.1640625" style="3" customWidth="1"/>
    <col min="3856" max="3856" width="12.6640625" style="3" bestFit="1" customWidth="1"/>
    <col min="3857" max="3857" width="9.5" style="3" bestFit="1" customWidth="1"/>
    <col min="3858" max="3858" width="8.83203125" style="3" bestFit="1" customWidth="1"/>
    <col min="3859" max="3859" width="4.83203125" style="3" customWidth="1"/>
    <col min="3860" max="3860" width="46.5" style="3" bestFit="1" customWidth="1"/>
    <col min="3861" max="3861" width="7.5" style="3" bestFit="1" customWidth="1"/>
    <col min="3862" max="3862" width="6.83203125" style="3" customWidth="1"/>
    <col min="3863" max="3864" width="7.5" style="3" bestFit="1" customWidth="1"/>
    <col min="3865" max="3865" width="7" style="3" bestFit="1" customWidth="1"/>
    <col min="3866" max="3867" width="7.5" style="3" bestFit="1" customWidth="1"/>
    <col min="3868" max="3868" width="7.1640625" style="3" bestFit="1" customWidth="1"/>
    <col min="3869" max="3869" width="7.5" style="3" bestFit="1" customWidth="1"/>
    <col min="3870" max="3870" width="4.83203125" style="3" customWidth="1"/>
    <col min="3871" max="3871" width="6" style="3" bestFit="1" customWidth="1"/>
    <col min="3872" max="3872" width="33.33203125" style="3" bestFit="1" customWidth="1"/>
    <col min="3873" max="3873" width="19.6640625" style="3" customWidth="1"/>
    <col min="3874" max="3876" width="12.1640625" style="3" bestFit="1" customWidth="1"/>
    <col min="3877" max="3877" width="10.83203125" style="3" customWidth="1"/>
    <col min="3878" max="4096" width="11.5" style="3"/>
    <col min="4097" max="4097" width="75.83203125" style="3" customWidth="1"/>
    <col min="4098" max="4098" width="76.5" style="3" customWidth="1"/>
    <col min="4099" max="4099" width="43.6640625" style="3" bestFit="1" customWidth="1"/>
    <col min="4100" max="4100" width="10.5" style="3" bestFit="1" customWidth="1"/>
    <col min="4101" max="4102" width="10.5" style="3" customWidth="1"/>
    <col min="4103" max="4103" width="4.5" style="3" customWidth="1"/>
    <col min="4104" max="4104" width="10.5" style="3" bestFit="1" customWidth="1"/>
    <col min="4105" max="4105" width="60.83203125" style="3" bestFit="1" customWidth="1"/>
    <col min="4106" max="4106" width="13" style="3" bestFit="1" customWidth="1"/>
    <col min="4107" max="4108" width="10.5" style="3" customWidth="1"/>
    <col min="4109" max="4109" width="3.5" style="3" customWidth="1"/>
    <col min="4110" max="4110" width="47.1640625" style="3" bestFit="1" customWidth="1"/>
    <col min="4111" max="4111" width="13.1640625" style="3" customWidth="1"/>
    <col min="4112" max="4112" width="12.6640625" style="3" bestFit="1" customWidth="1"/>
    <col min="4113" max="4113" width="9.5" style="3" bestFit="1" customWidth="1"/>
    <col min="4114" max="4114" width="8.83203125" style="3" bestFit="1" customWidth="1"/>
    <col min="4115" max="4115" width="4.83203125" style="3" customWidth="1"/>
    <col min="4116" max="4116" width="46.5" style="3" bestFit="1" customWidth="1"/>
    <col min="4117" max="4117" width="7.5" style="3" bestFit="1" customWidth="1"/>
    <col min="4118" max="4118" width="6.83203125" style="3" customWidth="1"/>
    <col min="4119" max="4120" width="7.5" style="3" bestFit="1" customWidth="1"/>
    <col min="4121" max="4121" width="7" style="3" bestFit="1" customWidth="1"/>
    <col min="4122" max="4123" width="7.5" style="3" bestFit="1" customWidth="1"/>
    <col min="4124" max="4124" width="7.1640625" style="3" bestFit="1" customWidth="1"/>
    <col min="4125" max="4125" width="7.5" style="3" bestFit="1" customWidth="1"/>
    <col min="4126" max="4126" width="4.83203125" style="3" customWidth="1"/>
    <col min="4127" max="4127" width="6" style="3" bestFit="1" customWidth="1"/>
    <col min="4128" max="4128" width="33.33203125" style="3" bestFit="1" customWidth="1"/>
    <col min="4129" max="4129" width="19.6640625" style="3" customWidth="1"/>
    <col min="4130" max="4132" width="12.1640625" style="3" bestFit="1" customWidth="1"/>
    <col min="4133" max="4133" width="10.83203125" style="3" customWidth="1"/>
    <col min="4134" max="4352" width="11.5" style="3"/>
    <col min="4353" max="4353" width="75.83203125" style="3" customWidth="1"/>
    <col min="4354" max="4354" width="76.5" style="3" customWidth="1"/>
    <col min="4355" max="4355" width="43.6640625" style="3" bestFit="1" customWidth="1"/>
    <col min="4356" max="4356" width="10.5" style="3" bestFit="1" customWidth="1"/>
    <col min="4357" max="4358" width="10.5" style="3" customWidth="1"/>
    <col min="4359" max="4359" width="4.5" style="3" customWidth="1"/>
    <col min="4360" max="4360" width="10.5" style="3" bestFit="1" customWidth="1"/>
    <col min="4361" max="4361" width="60.83203125" style="3" bestFit="1" customWidth="1"/>
    <col min="4362" max="4362" width="13" style="3" bestFit="1" customWidth="1"/>
    <col min="4363" max="4364" width="10.5" style="3" customWidth="1"/>
    <col min="4365" max="4365" width="3.5" style="3" customWidth="1"/>
    <col min="4366" max="4366" width="47.1640625" style="3" bestFit="1" customWidth="1"/>
    <col min="4367" max="4367" width="13.1640625" style="3" customWidth="1"/>
    <col min="4368" max="4368" width="12.6640625" style="3" bestFit="1" customWidth="1"/>
    <col min="4369" max="4369" width="9.5" style="3" bestFit="1" customWidth="1"/>
    <col min="4370" max="4370" width="8.83203125" style="3" bestFit="1" customWidth="1"/>
    <col min="4371" max="4371" width="4.83203125" style="3" customWidth="1"/>
    <col min="4372" max="4372" width="46.5" style="3" bestFit="1" customWidth="1"/>
    <col min="4373" max="4373" width="7.5" style="3" bestFit="1" customWidth="1"/>
    <col min="4374" max="4374" width="6.83203125" style="3" customWidth="1"/>
    <col min="4375" max="4376" width="7.5" style="3" bestFit="1" customWidth="1"/>
    <col min="4377" max="4377" width="7" style="3" bestFit="1" customWidth="1"/>
    <col min="4378" max="4379" width="7.5" style="3" bestFit="1" customWidth="1"/>
    <col min="4380" max="4380" width="7.1640625" style="3" bestFit="1" customWidth="1"/>
    <col min="4381" max="4381" width="7.5" style="3" bestFit="1" customWidth="1"/>
    <col min="4382" max="4382" width="4.83203125" style="3" customWidth="1"/>
    <col min="4383" max="4383" width="6" style="3" bestFit="1" customWidth="1"/>
    <col min="4384" max="4384" width="33.33203125" style="3" bestFit="1" customWidth="1"/>
    <col min="4385" max="4385" width="19.6640625" style="3" customWidth="1"/>
    <col min="4386" max="4388" width="12.1640625" style="3" bestFit="1" customWidth="1"/>
    <col min="4389" max="4389" width="10.83203125" style="3" customWidth="1"/>
    <col min="4390" max="4608" width="11.5" style="3"/>
    <col min="4609" max="4609" width="75.83203125" style="3" customWidth="1"/>
    <col min="4610" max="4610" width="76.5" style="3" customWidth="1"/>
    <col min="4611" max="4611" width="43.6640625" style="3" bestFit="1" customWidth="1"/>
    <col min="4612" max="4612" width="10.5" style="3" bestFit="1" customWidth="1"/>
    <col min="4613" max="4614" width="10.5" style="3" customWidth="1"/>
    <col min="4615" max="4615" width="4.5" style="3" customWidth="1"/>
    <col min="4616" max="4616" width="10.5" style="3" bestFit="1" customWidth="1"/>
    <col min="4617" max="4617" width="60.83203125" style="3" bestFit="1" customWidth="1"/>
    <col min="4618" max="4618" width="13" style="3" bestFit="1" customWidth="1"/>
    <col min="4619" max="4620" width="10.5" style="3" customWidth="1"/>
    <col min="4621" max="4621" width="3.5" style="3" customWidth="1"/>
    <col min="4622" max="4622" width="47.1640625" style="3" bestFit="1" customWidth="1"/>
    <col min="4623" max="4623" width="13.1640625" style="3" customWidth="1"/>
    <col min="4624" max="4624" width="12.6640625" style="3" bestFit="1" customWidth="1"/>
    <col min="4625" max="4625" width="9.5" style="3" bestFit="1" customWidth="1"/>
    <col min="4626" max="4626" width="8.83203125" style="3" bestFit="1" customWidth="1"/>
    <col min="4627" max="4627" width="4.83203125" style="3" customWidth="1"/>
    <col min="4628" max="4628" width="46.5" style="3" bestFit="1" customWidth="1"/>
    <col min="4629" max="4629" width="7.5" style="3" bestFit="1" customWidth="1"/>
    <col min="4630" max="4630" width="6.83203125" style="3" customWidth="1"/>
    <col min="4631" max="4632" width="7.5" style="3" bestFit="1" customWidth="1"/>
    <col min="4633" max="4633" width="7" style="3" bestFit="1" customWidth="1"/>
    <col min="4634" max="4635" width="7.5" style="3" bestFit="1" customWidth="1"/>
    <col min="4636" max="4636" width="7.1640625" style="3" bestFit="1" customWidth="1"/>
    <col min="4637" max="4637" width="7.5" style="3" bestFit="1" customWidth="1"/>
    <col min="4638" max="4638" width="4.83203125" style="3" customWidth="1"/>
    <col min="4639" max="4639" width="6" style="3" bestFit="1" customWidth="1"/>
    <col min="4640" max="4640" width="33.33203125" style="3" bestFit="1" customWidth="1"/>
    <col min="4641" max="4641" width="19.6640625" style="3" customWidth="1"/>
    <col min="4642" max="4644" width="12.1640625" style="3" bestFit="1" customWidth="1"/>
    <col min="4645" max="4645" width="10.83203125" style="3" customWidth="1"/>
    <col min="4646" max="4864" width="11.5" style="3"/>
    <col min="4865" max="4865" width="75.83203125" style="3" customWidth="1"/>
    <col min="4866" max="4866" width="76.5" style="3" customWidth="1"/>
    <col min="4867" max="4867" width="43.6640625" style="3" bestFit="1" customWidth="1"/>
    <col min="4868" max="4868" width="10.5" style="3" bestFit="1" customWidth="1"/>
    <col min="4869" max="4870" width="10.5" style="3" customWidth="1"/>
    <col min="4871" max="4871" width="4.5" style="3" customWidth="1"/>
    <col min="4872" max="4872" width="10.5" style="3" bestFit="1" customWidth="1"/>
    <col min="4873" max="4873" width="60.83203125" style="3" bestFit="1" customWidth="1"/>
    <col min="4874" max="4874" width="13" style="3" bestFit="1" customWidth="1"/>
    <col min="4875" max="4876" width="10.5" style="3" customWidth="1"/>
    <col min="4877" max="4877" width="3.5" style="3" customWidth="1"/>
    <col min="4878" max="4878" width="47.1640625" style="3" bestFit="1" customWidth="1"/>
    <col min="4879" max="4879" width="13.1640625" style="3" customWidth="1"/>
    <col min="4880" max="4880" width="12.6640625" style="3" bestFit="1" customWidth="1"/>
    <col min="4881" max="4881" width="9.5" style="3" bestFit="1" customWidth="1"/>
    <col min="4882" max="4882" width="8.83203125" style="3" bestFit="1" customWidth="1"/>
    <col min="4883" max="4883" width="4.83203125" style="3" customWidth="1"/>
    <col min="4884" max="4884" width="46.5" style="3" bestFit="1" customWidth="1"/>
    <col min="4885" max="4885" width="7.5" style="3" bestFit="1" customWidth="1"/>
    <col min="4886" max="4886" width="6.83203125" style="3" customWidth="1"/>
    <col min="4887" max="4888" width="7.5" style="3" bestFit="1" customWidth="1"/>
    <col min="4889" max="4889" width="7" style="3" bestFit="1" customWidth="1"/>
    <col min="4890" max="4891" width="7.5" style="3" bestFit="1" customWidth="1"/>
    <col min="4892" max="4892" width="7.1640625" style="3" bestFit="1" customWidth="1"/>
    <col min="4893" max="4893" width="7.5" style="3" bestFit="1" customWidth="1"/>
    <col min="4894" max="4894" width="4.83203125" style="3" customWidth="1"/>
    <col min="4895" max="4895" width="6" style="3" bestFit="1" customWidth="1"/>
    <col min="4896" max="4896" width="33.33203125" style="3" bestFit="1" customWidth="1"/>
    <col min="4897" max="4897" width="19.6640625" style="3" customWidth="1"/>
    <col min="4898" max="4900" width="12.1640625" style="3" bestFit="1" customWidth="1"/>
    <col min="4901" max="4901" width="10.83203125" style="3" customWidth="1"/>
    <col min="4902" max="5120" width="11.5" style="3"/>
    <col min="5121" max="5121" width="75.83203125" style="3" customWidth="1"/>
    <col min="5122" max="5122" width="76.5" style="3" customWidth="1"/>
    <col min="5123" max="5123" width="43.6640625" style="3" bestFit="1" customWidth="1"/>
    <col min="5124" max="5124" width="10.5" style="3" bestFit="1" customWidth="1"/>
    <col min="5125" max="5126" width="10.5" style="3" customWidth="1"/>
    <col min="5127" max="5127" width="4.5" style="3" customWidth="1"/>
    <col min="5128" max="5128" width="10.5" style="3" bestFit="1" customWidth="1"/>
    <col min="5129" max="5129" width="60.83203125" style="3" bestFit="1" customWidth="1"/>
    <col min="5130" max="5130" width="13" style="3" bestFit="1" customWidth="1"/>
    <col min="5131" max="5132" width="10.5" style="3" customWidth="1"/>
    <col min="5133" max="5133" width="3.5" style="3" customWidth="1"/>
    <col min="5134" max="5134" width="47.1640625" style="3" bestFit="1" customWidth="1"/>
    <col min="5135" max="5135" width="13.1640625" style="3" customWidth="1"/>
    <col min="5136" max="5136" width="12.6640625" style="3" bestFit="1" customWidth="1"/>
    <col min="5137" max="5137" width="9.5" style="3" bestFit="1" customWidth="1"/>
    <col min="5138" max="5138" width="8.83203125" style="3" bestFit="1" customWidth="1"/>
    <col min="5139" max="5139" width="4.83203125" style="3" customWidth="1"/>
    <col min="5140" max="5140" width="46.5" style="3" bestFit="1" customWidth="1"/>
    <col min="5141" max="5141" width="7.5" style="3" bestFit="1" customWidth="1"/>
    <col min="5142" max="5142" width="6.83203125" style="3" customWidth="1"/>
    <col min="5143" max="5144" width="7.5" style="3" bestFit="1" customWidth="1"/>
    <col min="5145" max="5145" width="7" style="3" bestFit="1" customWidth="1"/>
    <col min="5146" max="5147" width="7.5" style="3" bestFit="1" customWidth="1"/>
    <col min="5148" max="5148" width="7.1640625" style="3" bestFit="1" customWidth="1"/>
    <col min="5149" max="5149" width="7.5" style="3" bestFit="1" customWidth="1"/>
    <col min="5150" max="5150" width="4.83203125" style="3" customWidth="1"/>
    <col min="5151" max="5151" width="6" style="3" bestFit="1" customWidth="1"/>
    <col min="5152" max="5152" width="33.33203125" style="3" bestFit="1" customWidth="1"/>
    <col min="5153" max="5153" width="19.6640625" style="3" customWidth="1"/>
    <col min="5154" max="5156" width="12.1640625" style="3" bestFit="1" customWidth="1"/>
    <col min="5157" max="5157" width="10.83203125" style="3" customWidth="1"/>
    <col min="5158" max="5376" width="11.5" style="3"/>
    <col min="5377" max="5377" width="75.83203125" style="3" customWidth="1"/>
    <col min="5378" max="5378" width="76.5" style="3" customWidth="1"/>
    <col min="5379" max="5379" width="43.6640625" style="3" bestFit="1" customWidth="1"/>
    <col min="5380" max="5380" width="10.5" style="3" bestFit="1" customWidth="1"/>
    <col min="5381" max="5382" width="10.5" style="3" customWidth="1"/>
    <col min="5383" max="5383" width="4.5" style="3" customWidth="1"/>
    <col min="5384" max="5384" width="10.5" style="3" bestFit="1" customWidth="1"/>
    <col min="5385" max="5385" width="60.83203125" style="3" bestFit="1" customWidth="1"/>
    <col min="5386" max="5386" width="13" style="3" bestFit="1" customWidth="1"/>
    <col min="5387" max="5388" width="10.5" style="3" customWidth="1"/>
    <col min="5389" max="5389" width="3.5" style="3" customWidth="1"/>
    <col min="5390" max="5390" width="47.1640625" style="3" bestFit="1" customWidth="1"/>
    <col min="5391" max="5391" width="13.1640625" style="3" customWidth="1"/>
    <col min="5392" max="5392" width="12.6640625" style="3" bestFit="1" customWidth="1"/>
    <col min="5393" max="5393" width="9.5" style="3" bestFit="1" customWidth="1"/>
    <col min="5394" max="5394" width="8.83203125" style="3" bestFit="1" customWidth="1"/>
    <col min="5395" max="5395" width="4.83203125" style="3" customWidth="1"/>
    <col min="5396" max="5396" width="46.5" style="3" bestFit="1" customWidth="1"/>
    <col min="5397" max="5397" width="7.5" style="3" bestFit="1" customWidth="1"/>
    <col min="5398" max="5398" width="6.83203125" style="3" customWidth="1"/>
    <col min="5399" max="5400" width="7.5" style="3" bestFit="1" customWidth="1"/>
    <col min="5401" max="5401" width="7" style="3" bestFit="1" customWidth="1"/>
    <col min="5402" max="5403" width="7.5" style="3" bestFit="1" customWidth="1"/>
    <col min="5404" max="5404" width="7.1640625" style="3" bestFit="1" customWidth="1"/>
    <col min="5405" max="5405" width="7.5" style="3" bestFit="1" customWidth="1"/>
    <col min="5406" max="5406" width="4.83203125" style="3" customWidth="1"/>
    <col min="5407" max="5407" width="6" style="3" bestFit="1" customWidth="1"/>
    <col min="5408" max="5408" width="33.33203125" style="3" bestFit="1" customWidth="1"/>
    <col min="5409" max="5409" width="19.6640625" style="3" customWidth="1"/>
    <col min="5410" max="5412" width="12.1640625" style="3" bestFit="1" customWidth="1"/>
    <col min="5413" max="5413" width="10.83203125" style="3" customWidth="1"/>
    <col min="5414" max="5632" width="11.5" style="3"/>
    <col min="5633" max="5633" width="75.83203125" style="3" customWidth="1"/>
    <col min="5634" max="5634" width="76.5" style="3" customWidth="1"/>
    <col min="5635" max="5635" width="43.6640625" style="3" bestFit="1" customWidth="1"/>
    <col min="5636" max="5636" width="10.5" style="3" bestFit="1" customWidth="1"/>
    <col min="5637" max="5638" width="10.5" style="3" customWidth="1"/>
    <col min="5639" max="5639" width="4.5" style="3" customWidth="1"/>
    <col min="5640" max="5640" width="10.5" style="3" bestFit="1" customWidth="1"/>
    <col min="5641" max="5641" width="60.83203125" style="3" bestFit="1" customWidth="1"/>
    <col min="5642" max="5642" width="13" style="3" bestFit="1" customWidth="1"/>
    <col min="5643" max="5644" width="10.5" style="3" customWidth="1"/>
    <col min="5645" max="5645" width="3.5" style="3" customWidth="1"/>
    <col min="5646" max="5646" width="47.1640625" style="3" bestFit="1" customWidth="1"/>
    <col min="5647" max="5647" width="13.1640625" style="3" customWidth="1"/>
    <col min="5648" max="5648" width="12.6640625" style="3" bestFit="1" customWidth="1"/>
    <col min="5649" max="5649" width="9.5" style="3" bestFit="1" customWidth="1"/>
    <col min="5650" max="5650" width="8.83203125" style="3" bestFit="1" customWidth="1"/>
    <col min="5651" max="5651" width="4.83203125" style="3" customWidth="1"/>
    <col min="5652" max="5652" width="46.5" style="3" bestFit="1" customWidth="1"/>
    <col min="5653" max="5653" width="7.5" style="3" bestFit="1" customWidth="1"/>
    <col min="5654" max="5654" width="6.83203125" style="3" customWidth="1"/>
    <col min="5655" max="5656" width="7.5" style="3" bestFit="1" customWidth="1"/>
    <col min="5657" max="5657" width="7" style="3" bestFit="1" customWidth="1"/>
    <col min="5658" max="5659" width="7.5" style="3" bestFit="1" customWidth="1"/>
    <col min="5660" max="5660" width="7.1640625" style="3" bestFit="1" customWidth="1"/>
    <col min="5661" max="5661" width="7.5" style="3" bestFit="1" customWidth="1"/>
    <col min="5662" max="5662" width="4.83203125" style="3" customWidth="1"/>
    <col min="5663" max="5663" width="6" style="3" bestFit="1" customWidth="1"/>
    <col min="5664" max="5664" width="33.33203125" style="3" bestFit="1" customWidth="1"/>
    <col min="5665" max="5665" width="19.6640625" style="3" customWidth="1"/>
    <col min="5666" max="5668" width="12.1640625" style="3" bestFit="1" customWidth="1"/>
    <col min="5669" max="5669" width="10.83203125" style="3" customWidth="1"/>
    <col min="5670" max="5888" width="11.5" style="3"/>
    <col min="5889" max="5889" width="75.83203125" style="3" customWidth="1"/>
    <col min="5890" max="5890" width="76.5" style="3" customWidth="1"/>
    <col min="5891" max="5891" width="43.6640625" style="3" bestFit="1" customWidth="1"/>
    <col min="5892" max="5892" width="10.5" style="3" bestFit="1" customWidth="1"/>
    <col min="5893" max="5894" width="10.5" style="3" customWidth="1"/>
    <col min="5895" max="5895" width="4.5" style="3" customWidth="1"/>
    <col min="5896" max="5896" width="10.5" style="3" bestFit="1" customWidth="1"/>
    <col min="5897" max="5897" width="60.83203125" style="3" bestFit="1" customWidth="1"/>
    <col min="5898" max="5898" width="13" style="3" bestFit="1" customWidth="1"/>
    <col min="5899" max="5900" width="10.5" style="3" customWidth="1"/>
    <col min="5901" max="5901" width="3.5" style="3" customWidth="1"/>
    <col min="5902" max="5902" width="47.1640625" style="3" bestFit="1" customWidth="1"/>
    <col min="5903" max="5903" width="13.1640625" style="3" customWidth="1"/>
    <col min="5904" max="5904" width="12.6640625" style="3" bestFit="1" customWidth="1"/>
    <col min="5905" max="5905" width="9.5" style="3" bestFit="1" customWidth="1"/>
    <col min="5906" max="5906" width="8.83203125" style="3" bestFit="1" customWidth="1"/>
    <col min="5907" max="5907" width="4.83203125" style="3" customWidth="1"/>
    <col min="5908" max="5908" width="46.5" style="3" bestFit="1" customWidth="1"/>
    <col min="5909" max="5909" width="7.5" style="3" bestFit="1" customWidth="1"/>
    <col min="5910" max="5910" width="6.83203125" style="3" customWidth="1"/>
    <col min="5911" max="5912" width="7.5" style="3" bestFit="1" customWidth="1"/>
    <col min="5913" max="5913" width="7" style="3" bestFit="1" customWidth="1"/>
    <col min="5914" max="5915" width="7.5" style="3" bestFit="1" customWidth="1"/>
    <col min="5916" max="5916" width="7.1640625" style="3" bestFit="1" customWidth="1"/>
    <col min="5917" max="5917" width="7.5" style="3" bestFit="1" customWidth="1"/>
    <col min="5918" max="5918" width="4.83203125" style="3" customWidth="1"/>
    <col min="5919" max="5919" width="6" style="3" bestFit="1" customWidth="1"/>
    <col min="5920" max="5920" width="33.33203125" style="3" bestFit="1" customWidth="1"/>
    <col min="5921" max="5921" width="19.6640625" style="3" customWidth="1"/>
    <col min="5922" max="5924" width="12.1640625" style="3" bestFit="1" customWidth="1"/>
    <col min="5925" max="5925" width="10.83203125" style="3" customWidth="1"/>
    <col min="5926" max="6144" width="11.5" style="3"/>
    <col min="6145" max="6145" width="75.83203125" style="3" customWidth="1"/>
    <col min="6146" max="6146" width="76.5" style="3" customWidth="1"/>
    <col min="6147" max="6147" width="43.6640625" style="3" bestFit="1" customWidth="1"/>
    <col min="6148" max="6148" width="10.5" style="3" bestFit="1" customWidth="1"/>
    <col min="6149" max="6150" width="10.5" style="3" customWidth="1"/>
    <col min="6151" max="6151" width="4.5" style="3" customWidth="1"/>
    <col min="6152" max="6152" width="10.5" style="3" bestFit="1" customWidth="1"/>
    <col min="6153" max="6153" width="60.83203125" style="3" bestFit="1" customWidth="1"/>
    <col min="6154" max="6154" width="13" style="3" bestFit="1" customWidth="1"/>
    <col min="6155" max="6156" width="10.5" style="3" customWidth="1"/>
    <col min="6157" max="6157" width="3.5" style="3" customWidth="1"/>
    <col min="6158" max="6158" width="47.1640625" style="3" bestFit="1" customWidth="1"/>
    <col min="6159" max="6159" width="13.1640625" style="3" customWidth="1"/>
    <col min="6160" max="6160" width="12.6640625" style="3" bestFit="1" customWidth="1"/>
    <col min="6161" max="6161" width="9.5" style="3" bestFit="1" customWidth="1"/>
    <col min="6162" max="6162" width="8.83203125" style="3" bestFit="1" customWidth="1"/>
    <col min="6163" max="6163" width="4.83203125" style="3" customWidth="1"/>
    <col min="6164" max="6164" width="46.5" style="3" bestFit="1" customWidth="1"/>
    <col min="6165" max="6165" width="7.5" style="3" bestFit="1" customWidth="1"/>
    <col min="6166" max="6166" width="6.83203125" style="3" customWidth="1"/>
    <col min="6167" max="6168" width="7.5" style="3" bestFit="1" customWidth="1"/>
    <col min="6169" max="6169" width="7" style="3" bestFit="1" customWidth="1"/>
    <col min="6170" max="6171" width="7.5" style="3" bestFit="1" customWidth="1"/>
    <col min="6172" max="6172" width="7.1640625" style="3" bestFit="1" customWidth="1"/>
    <col min="6173" max="6173" width="7.5" style="3" bestFit="1" customWidth="1"/>
    <col min="6174" max="6174" width="4.83203125" style="3" customWidth="1"/>
    <col min="6175" max="6175" width="6" style="3" bestFit="1" customWidth="1"/>
    <col min="6176" max="6176" width="33.33203125" style="3" bestFit="1" customWidth="1"/>
    <col min="6177" max="6177" width="19.6640625" style="3" customWidth="1"/>
    <col min="6178" max="6180" width="12.1640625" style="3" bestFit="1" customWidth="1"/>
    <col min="6181" max="6181" width="10.83203125" style="3" customWidth="1"/>
    <col min="6182" max="6400" width="11.5" style="3"/>
    <col min="6401" max="6401" width="75.83203125" style="3" customWidth="1"/>
    <col min="6402" max="6402" width="76.5" style="3" customWidth="1"/>
    <col min="6403" max="6403" width="43.6640625" style="3" bestFit="1" customWidth="1"/>
    <col min="6404" max="6404" width="10.5" style="3" bestFit="1" customWidth="1"/>
    <col min="6405" max="6406" width="10.5" style="3" customWidth="1"/>
    <col min="6407" max="6407" width="4.5" style="3" customWidth="1"/>
    <col min="6408" max="6408" width="10.5" style="3" bestFit="1" customWidth="1"/>
    <col min="6409" max="6409" width="60.83203125" style="3" bestFit="1" customWidth="1"/>
    <col min="6410" max="6410" width="13" style="3" bestFit="1" customWidth="1"/>
    <col min="6411" max="6412" width="10.5" style="3" customWidth="1"/>
    <col min="6413" max="6413" width="3.5" style="3" customWidth="1"/>
    <col min="6414" max="6414" width="47.1640625" style="3" bestFit="1" customWidth="1"/>
    <col min="6415" max="6415" width="13.1640625" style="3" customWidth="1"/>
    <col min="6416" max="6416" width="12.6640625" style="3" bestFit="1" customWidth="1"/>
    <col min="6417" max="6417" width="9.5" style="3" bestFit="1" customWidth="1"/>
    <col min="6418" max="6418" width="8.83203125" style="3" bestFit="1" customWidth="1"/>
    <col min="6419" max="6419" width="4.83203125" style="3" customWidth="1"/>
    <col min="6420" max="6420" width="46.5" style="3" bestFit="1" customWidth="1"/>
    <col min="6421" max="6421" width="7.5" style="3" bestFit="1" customWidth="1"/>
    <col min="6422" max="6422" width="6.83203125" style="3" customWidth="1"/>
    <col min="6423" max="6424" width="7.5" style="3" bestFit="1" customWidth="1"/>
    <col min="6425" max="6425" width="7" style="3" bestFit="1" customWidth="1"/>
    <col min="6426" max="6427" width="7.5" style="3" bestFit="1" customWidth="1"/>
    <col min="6428" max="6428" width="7.1640625" style="3" bestFit="1" customWidth="1"/>
    <col min="6429" max="6429" width="7.5" style="3" bestFit="1" customWidth="1"/>
    <col min="6430" max="6430" width="4.83203125" style="3" customWidth="1"/>
    <col min="6431" max="6431" width="6" style="3" bestFit="1" customWidth="1"/>
    <col min="6432" max="6432" width="33.33203125" style="3" bestFit="1" customWidth="1"/>
    <col min="6433" max="6433" width="19.6640625" style="3" customWidth="1"/>
    <col min="6434" max="6436" width="12.1640625" style="3" bestFit="1" customWidth="1"/>
    <col min="6437" max="6437" width="10.83203125" style="3" customWidth="1"/>
    <col min="6438" max="6656" width="11.5" style="3"/>
    <col min="6657" max="6657" width="75.83203125" style="3" customWidth="1"/>
    <col min="6658" max="6658" width="76.5" style="3" customWidth="1"/>
    <col min="6659" max="6659" width="43.6640625" style="3" bestFit="1" customWidth="1"/>
    <col min="6660" max="6660" width="10.5" style="3" bestFit="1" customWidth="1"/>
    <col min="6661" max="6662" width="10.5" style="3" customWidth="1"/>
    <col min="6663" max="6663" width="4.5" style="3" customWidth="1"/>
    <col min="6664" max="6664" width="10.5" style="3" bestFit="1" customWidth="1"/>
    <col min="6665" max="6665" width="60.83203125" style="3" bestFit="1" customWidth="1"/>
    <col min="6666" max="6666" width="13" style="3" bestFit="1" customWidth="1"/>
    <col min="6667" max="6668" width="10.5" style="3" customWidth="1"/>
    <col min="6669" max="6669" width="3.5" style="3" customWidth="1"/>
    <col min="6670" max="6670" width="47.1640625" style="3" bestFit="1" customWidth="1"/>
    <col min="6671" max="6671" width="13.1640625" style="3" customWidth="1"/>
    <col min="6672" max="6672" width="12.6640625" style="3" bestFit="1" customWidth="1"/>
    <col min="6673" max="6673" width="9.5" style="3" bestFit="1" customWidth="1"/>
    <col min="6674" max="6674" width="8.83203125" style="3" bestFit="1" customWidth="1"/>
    <col min="6675" max="6675" width="4.83203125" style="3" customWidth="1"/>
    <col min="6676" max="6676" width="46.5" style="3" bestFit="1" customWidth="1"/>
    <col min="6677" max="6677" width="7.5" style="3" bestFit="1" customWidth="1"/>
    <col min="6678" max="6678" width="6.83203125" style="3" customWidth="1"/>
    <col min="6679" max="6680" width="7.5" style="3" bestFit="1" customWidth="1"/>
    <col min="6681" max="6681" width="7" style="3" bestFit="1" customWidth="1"/>
    <col min="6682" max="6683" width="7.5" style="3" bestFit="1" customWidth="1"/>
    <col min="6684" max="6684" width="7.1640625" style="3" bestFit="1" customWidth="1"/>
    <col min="6685" max="6685" width="7.5" style="3" bestFit="1" customWidth="1"/>
    <col min="6686" max="6686" width="4.83203125" style="3" customWidth="1"/>
    <col min="6687" max="6687" width="6" style="3" bestFit="1" customWidth="1"/>
    <col min="6688" max="6688" width="33.33203125" style="3" bestFit="1" customWidth="1"/>
    <col min="6689" max="6689" width="19.6640625" style="3" customWidth="1"/>
    <col min="6690" max="6692" width="12.1640625" style="3" bestFit="1" customWidth="1"/>
    <col min="6693" max="6693" width="10.83203125" style="3" customWidth="1"/>
    <col min="6694" max="6912" width="11.5" style="3"/>
    <col min="6913" max="6913" width="75.83203125" style="3" customWidth="1"/>
    <col min="6914" max="6914" width="76.5" style="3" customWidth="1"/>
    <col min="6915" max="6915" width="43.6640625" style="3" bestFit="1" customWidth="1"/>
    <col min="6916" max="6916" width="10.5" style="3" bestFit="1" customWidth="1"/>
    <col min="6917" max="6918" width="10.5" style="3" customWidth="1"/>
    <col min="6919" max="6919" width="4.5" style="3" customWidth="1"/>
    <col min="6920" max="6920" width="10.5" style="3" bestFit="1" customWidth="1"/>
    <col min="6921" max="6921" width="60.83203125" style="3" bestFit="1" customWidth="1"/>
    <col min="6922" max="6922" width="13" style="3" bestFit="1" customWidth="1"/>
    <col min="6923" max="6924" width="10.5" style="3" customWidth="1"/>
    <col min="6925" max="6925" width="3.5" style="3" customWidth="1"/>
    <col min="6926" max="6926" width="47.1640625" style="3" bestFit="1" customWidth="1"/>
    <col min="6927" max="6927" width="13.1640625" style="3" customWidth="1"/>
    <col min="6928" max="6928" width="12.6640625" style="3" bestFit="1" customWidth="1"/>
    <col min="6929" max="6929" width="9.5" style="3" bestFit="1" customWidth="1"/>
    <col min="6930" max="6930" width="8.83203125" style="3" bestFit="1" customWidth="1"/>
    <col min="6931" max="6931" width="4.83203125" style="3" customWidth="1"/>
    <col min="6932" max="6932" width="46.5" style="3" bestFit="1" customWidth="1"/>
    <col min="6933" max="6933" width="7.5" style="3" bestFit="1" customWidth="1"/>
    <col min="6934" max="6934" width="6.83203125" style="3" customWidth="1"/>
    <col min="6935" max="6936" width="7.5" style="3" bestFit="1" customWidth="1"/>
    <col min="6937" max="6937" width="7" style="3" bestFit="1" customWidth="1"/>
    <col min="6938" max="6939" width="7.5" style="3" bestFit="1" customWidth="1"/>
    <col min="6940" max="6940" width="7.1640625" style="3" bestFit="1" customWidth="1"/>
    <col min="6941" max="6941" width="7.5" style="3" bestFit="1" customWidth="1"/>
    <col min="6942" max="6942" width="4.83203125" style="3" customWidth="1"/>
    <col min="6943" max="6943" width="6" style="3" bestFit="1" customWidth="1"/>
    <col min="6944" max="6944" width="33.33203125" style="3" bestFit="1" customWidth="1"/>
    <col min="6945" max="6945" width="19.6640625" style="3" customWidth="1"/>
    <col min="6946" max="6948" width="12.1640625" style="3" bestFit="1" customWidth="1"/>
    <col min="6949" max="6949" width="10.83203125" style="3" customWidth="1"/>
    <col min="6950" max="7168" width="11.5" style="3"/>
    <col min="7169" max="7169" width="75.83203125" style="3" customWidth="1"/>
    <col min="7170" max="7170" width="76.5" style="3" customWidth="1"/>
    <col min="7171" max="7171" width="43.6640625" style="3" bestFit="1" customWidth="1"/>
    <col min="7172" max="7172" width="10.5" style="3" bestFit="1" customWidth="1"/>
    <col min="7173" max="7174" width="10.5" style="3" customWidth="1"/>
    <col min="7175" max="7175" width="4.5" style="3" customWidth="1"/>
    <col min="7176" max="7176" width="10.5" style="3" bestFit="1" customWidth="1"/>
    <col min="7177" max="7177" width="60.83203125" style="3" bestFit="1" customWidth="1"/>
    <col min="7178" max="7178" width="13" style="3" bestFit="1" customWidth="1"/>
    <col min="7179" max="7180" width="10.5" style="3" customWidth="1"/>
    <col min="7181" max="7181" width="3.5" style="3" customWidth="1"/>
    <col min="7182" max="7182" width="47.1640625" style="3" bestFit="1" customWidth="1"/>
    <col min="7183" max="7183" width="13.1640625" style="3" customWidth="1"/>
    <col min="7184" max="7184" width="12.6640625" style="3" bestFit="1" customWidth="1"/>
    <col min="7185" max="7185" width="9.5" style="3" bestFit="1" customWidth="1"/>
    <col min="7186" max="7186" width="8.83203125" style="3" bestFit="1" customWidth="1"/>
    <col min="7187" max="7187" width="4.83203125" style="3" customWidth="1"/>
    <col min="7188" max="7188" width="46.5" style="3" bestFit="1" customWidth="1"/>
    <col min="7189" max="7189" width="7.5" style="3" bestFit="1" customWidth="1"/>
    <col min="7190" max="7190" width="6.83203125" style="3" customWidth="1"/>
    <col min="7191" max="7192" width="7.5" style="3" bestFit="1" customWidth="1"/>
    <col min="7193" max="7193" width="7" style="3" bestFit="1" customWidth="1"/>
    <col min="7194" max="7195" width="7.5" style="3" bestFit="1" customWidth="1"/>
    <col min="7196" max="7196" width="7.1640625" style="3" bestFit="1" customWidth="1"/>
    <col min="7197" max="7197" width="7.5" style="3" bestFit="1" customWidth="1"/>
    <col min="7198" max="7198" width="4.83203125" style="3" customWidth="1"/>
    <col min="7199" max="7199" width="6" style="3" bestFit="1" customWidth="1"/>
    <col min="7200" max="7200" width="33.33203125" style="3" bestFit="1" customWidth="1"/>
    <col min="7201" max="7201" width="19.6640625" style="3" customWidth="1"/>
    <col min="7202" max="7204" width="12.1640625" style="3" bestFit="1" customWidth="1"/>
    <col min="7205" max="7205" width="10.83203125" style="3" customWidth="1"/>
    <col min="7206" max="7424" width="11.5" style="3"/>
    <col min="7425" max="7425" width="75.83203125" style="3" customWidth="1"/>
    <col min="7426" max="7426" width="76.5" style="3" customWidth="1"/>
    <col min="7427" max="7427" width="43.6640625" style="3" bestFit="1" customWidth="1"/>
    <col min="7428" max="7428" width="10.5" style="3" bestFit="1" customWidth="1"/>
    <col min="7429" max="7430" width="10.5" style="3" customWidth="1"/>
    <col min="7431" max="7431" width="4.5" style="3" customWidth="1"/>
    <col min="7432" max="7432" width="10.5" style="3" bestFit="1" customWidth="1"/>
    <col min="7433" max="7433" width="60.83203125" style="3" bestFit="1" customWidth="1"/>
    <col min="7434" max="7434" width="13" style="3" bestFit="1" customWidth="1"/>
    <col min="7435" max="7436" width="10.5" style="3" customWidth="1"/>
    <col min="7437" max="7437" width="3.5" style="3" customWidth="1"/>
    <col min="7438" max="7438" width="47.1640625" style="3" bestFit="1" customWidth="1"/>
    <col min="7439" max="7439" width="13.1640625" style="3" customWidth="1"/>
    <col min="7440" max="7440" width="12.6640625" style="3" bestFit="1" customWidth="1"/>
    <col min="7441" max="7441" width="9.5" style="3" bestFit="1" customWidth="1"/>
    <col min="7442" max="7442" width="8.83203125" style="3" bestFit="1" customWidth="1"/>
    <col min="7443" max="7443" width="4.83203125" style="3" customWidth="1"/>
    <col min="7444" max="7444" width="46.5" style="3" bestFit="1" customWidth="1"/>
    <col min="7445" max="7445" width="7.5" style="3" bestFit="1" customWidth="1"/>
    <col min="7446" max="7446" width="6.83203125" style="3" customWidth="1"/>
    <col min="7447" max="7448" width="7.5" style="3" bestFit="1" customWidth="1"/>
    <col min="7449" max="7449" width="7" style="3" bestFit="1" customWidth="1"/>
    <col min="7450" max="7451" width="7.5" style="3" bestFit="1" customWidth="1"/>
    <col min="7452" max="7452" width="7.1640625" style="3" bestFit="1" customWidth="1"/>
    <col min="7453" max="7453" width="7.5" style="3" bestFit="1" customWidth="1"/>
    <col min="7454" max="7454" width="4.83203125" style="3" customWidth="1"/>
    <col min="7455" max="7455" width="6" style="3" bestFit="1" customWidth="1"/>
    <col min="7456" max="7456" width="33.33203125" style="3" bestFit="1" customWidth="1"/>
    <col min="7457" max="7457" width="19.6640625" style="3" customWidth="1"/>
    <col min="7458" max="7460" width="12.1640625" style="3" bestFit="1" customWidth="1"/>
    <col min="7461" max="7461" width="10.83203125" style="3" customWidth="1"/>
    <col min="7462" max="7680" width="11.5" style="3"/>
    <col min="7681" max="7681" width="75.83203125" style="3" customWidth="1"/>
    <col min="7682" max="7682" width="76.5" style="3" customWidth="1"/>
    <col min="7683" max="7683" width="43.6640625" style="3" bestFit="1" customWidth="1"/>
    <col min="7684" max="7684" width="10.5" style="3" bestFit="1" customWidth="1"/>
    <col min="7685" max="7686" width="10.5" style="3" customWidth="1"/>
    <col min="7687" max="7687" width="4.5" style="3" customWidth="1"/>
    <col min="7688" max="7688" width="10.5" style="3" bestFit="1" customWidth="1"/>
    <col min="7689" max="7689" width="60.83203125" style="3" bestFit="1" customWidth="1"/>
    <col min="7690" max="7690" width="13" style="3" bestFit="1" customWidth="1"/>
    <col min="7691" max="7692" width="10.5" style="3" customWidth="1"/>
    <col min="7693" max="7693" width="3.5" style="3" customWidth="1"/>
    <col min="7694" max="7694" width="47.1640625" style="3" bestFit="1" customWidth="1"/>
    <col min="7695" max="7695" width="13.1640625" style="3" customWidth="1"/>
    <col min="7696" max="7696" width="12.6640625" style="3" bestFit="1" customWidth="1"/>
    <col min="7697" max="7697" width="9.5" style="3" bestFit="1" customWidth="1"/>
    <col min="7698" max="7698" width="8.83203125" style="3" bestFit="1" customWidth="1"/>
    <col min="7699" max="7699" width="4.83203125" style="3" customWidth="1"/>
    <col min="7700" max="7700" width="46.5" style="3" bestFit="1" customWidth="1"/>
    <col min="7701" max="7701" width="7.5" style="3" bestFit="1" customWidth="1"/>
    <col min="7702" max="7702" width="6.83203125" style="3" customWidth="1"/>
    <col min="7703" max="7704" width="7.5" style="3" bestFit="1" customWidth="1"/>
    <col min="7705" max="7705" width="7" style="3" bestFit="1" customWidth="1"/>
    <col min="7706" max="7707" width="7.5" style="3" bestFit="1" customWidth="1"/>
    <col min="7708" max="7708" width="7.1640625" style="3" bestFit="1" customWidth="1"/>
    <col min="7709" max="7709" width="7.5" style="3" bestFit="1" customWidth="1"/>
    <col min="7710" max="7710" width="4.83203125" style="3" customWidth="1"/>
    <col min="7711" max="7711" width="6" style="3" bestFit="1" customWidth="1"/>
    <col min="7712" max="7712" width="33.33203125" style="3" bestFit="1" customWidth="1"/>
    <col min="7713" max="7713" width="19.6640625" style="3" customWidth="1"/>
    <col min="7714" max="7716" width="12.1640625" style="3" bestFit="1" customWidth="1"/>
    <col min="7717" max="7717" width="10.83203125" style="3" customWidth="1"/>
    <col min="7718" max="7936" width="11.5" style="3"/>
    <col min="7937" max="7937" width="75.83203125" style="3" customWidth="1"/>
    <col min="7938" max="7938" width="76.5" style="3" customWidth="1"/>
    <col min="7939" max="7939" width="43.6640625" style="3" bestFit="1" customWidth="1"/>
    <col min="7940" max="7940" width="10.5" style="3" bestFit="1" customWidth="1"/>
    <col min="7941" max="7942" width="10.5" style="3" customWidth="1"/>
    <col min="7943" max="7943" width="4.5" style="3" customWidth="1"/>
    <col min="7944" max="7944" width="10.5" style="3" bestFit="1" customWidth="1"/>
    <col min="7945" max="7945" width="60.83203125" style="3" bestFit="1" customWidth="1"/>
    <col min="7946" max="7946" width="13" style="3" bestFit="1" customWidth="1"/>
    <col min="7947" max="7948" width="10.5" style="3" customWidth="1"/>
    <col min="7949" max="7949" width="3.5" style="3" customWidth="1"/>
    <col min="7950" max="7950" width="47.1640625" style="3" bestFit="1" customWidth="1"/>
    <col min="7951" max="7951" width="13.1640625" style="3" customWidth="1"/>
    <col min="7952" max="7952" width="12.6640625" style="3" bestFit="1" customWidth="1"/>
    <col min="7953" max="7953" width="9.5" style="3" bestFit="1" customWidth="1"/>
    <col min="7954" max="7954" width="8.83203125" style="3" bestFit="1" customWidth="1"/>
    <col min="7955" max="7955" width="4.83203125" style="3" customWidth="1"/>
    <col min="7956" max="7956" width="46.5" style="3" bestFit="1" customWidth="1"/>
    <col min="7957" max="7957" width="7.5" style="3" bestFit="1" customWidth="1"/>
    <col min="7958" max="7958" width="6.83203125" style="3" customWidth="1"/>
    <col min="7959" max="7960" width="7.5" style="3" bestFit="1" customWidth="1"/>
    <col min="7961" max="7961" width="7" style="3" bestFit="1" customWidth="1"/>
    <col min="7962" max="7963" width="7.5" style="3" bestFit="1" customWidth="1"/>
    <col min="7964" max="7964" width="7.1640625" style="3" bestFit="1" customWidth="1"/>
    <col min="7965" max="7965" width="7.5" style="3" bestFit="1" customWidth="1"/>
    <col min="7966" max="7966" width="4.83203125" style="3" customWidth="1"/>
    <col min="7967" max="7967" width="6" style="3" bestFit="1" customWidth="1"/>
    <col min="7968" max="7968" width="33.33203125" style="3" bestFit="1" customWidth="1"/>
    <col min="7969" max="7969" width="19.6640625" style="3" customWidth="1"/>
    <col min="7970" max="7972" width="12.1640625" style="3" bestFit="1" customWidth="1"/>
    <col min="7973" max="7973" width="10.83203125" style="3" customWidth="1"/>
    <col min="7974" max="8192" width="11.5" style="3"/>
    <col min="8193" max="8193" width="75.83203125" style="3" customWidth="1"/>
    <col min="8194" max="8194" width="76.5" style="3" customWidth="1"/>
    <col min="8195" max="8195" width="43.6640625" style="3" bestFit="1" customWidth="1"/>
    <col min="8196" max="8196" width="10.5" style="3" bestFit="1" customWidth="1"/>
    <col min="8197" max="8198" width="10.5" style="3" customWidth="1"/>
    <col min="8199" max="8199" width="4.5" style="3" customWidth="1"/>
    <col min="8200" max="8200" width="10.5" style="3" bestFit="1" customWidth="1"/>
    <col min="8201" max="8201" width="60.83203125" style="3" bestFit="1" customWidth="1"/>
    <col min="8202" max="8202" width="13" style="3" bestFit="1" customWidth="1"/>
    <col min="8203" max="8204" width="10.5" style="3" customWidth="1"/>
    <col min="8205" max="8205" width="3.5" style="3" customWidth="1"/>
    <col min="8206" max="8206" width="47.1640625" style="3" bestFit="1" customWidth="1"/>
    <col min="8207" max="8207" width="13.1640625" style="3" customWidth="1"/>
    <col min="8208" max="8208" width="12.6640625" style="3" bestFit="1" customWidth="1"/>
    <col min="8209" max="8209" width="9.5" style="3" bestFit="1" customWidth="1"/>
    <col min="8210" max="8210" width="8.83203125" style="3" bestFit="1" customWidth="1"/>
    <col min="8211" max="8211" width="4.83203125" style="3" customWidth="1"/>
    <col min="8212" max="8212" width="46.5" style="3" bestFit="1" customWidth="1"/>
    <col min="8213" max="8213" width="7.5" style="3" bestFit="1" customWidth="1"/>
    <col min="8214" max="8214" width="6.83203125" style="3" customWidth="1"/>
    <col min="8215" max="8216" width="7.5" style="3" bestFit="1" customWidth="1"/>
    <col min="8217" max="8217" width="7" style="3" bestFit="1" customWidth="1"/>
    <col min="8218" max="8219" width="7.5" style="3" bestFit="1" customWidth="1"/>
    <col min="8220" max="8220" width="7.1640625" style="3" bestFit="1" customWidth="1"/>
    <col min="8221" max="8221" width="7.5" style="3" bestFit="1" customWidth="1"/>
    <col min="8222" max="8222" width="4.83203125" style="3" customWidth="1"/>
    <col min="8223" max="8223" width="6" style="3" bestFit="1" customWidth="1"/>
    <col min="8224" max="8224" width="33.33203125" style="3" bestFit="1" customWidth="1"/>
    <col min="8225" max="8225" width="19.6640625" style="3" customWidth="1"/>
    <col min="8226" max="8228" width="12.1640625" style="3" bestFit="1" customWidth="1"/>
    <col min="8229" max="8229" width="10.83203125" style="3" customWidth="1"/>
    <col min="8230" max="8448" width="11.5" style="3"/>
    <col min="8449" max="8449" width="75.83203125" style="3" customWidth="1"/>
    <col min="8450" max="8450" width="76.5" style="3" customWidth="1"/>
    <col min="8451" max="8451" width="43.6640625" style="3" bestFit="1" customWidth="1"/>
    <col min="8452" max="8452" width="10.5" style="3" bestFit="1" customWidth="1"/>
    <col min="8453" max="8454" width="10.5" style="3" customWidth="1"/>
    <col min="8455" max="8455" width="4.5" style="3" customWidth="1"/>
    <col min="8456" max="8456" width="10.5" style="3" bestFit="1" customWidth="1"/>
    <col min="8457" max="8457" width="60.83203125" style="3" bestFit="1" customWidth="1"/>
    <col min="8458" max="8458" width="13" style="3" bestFit="1" customWidth="1"/>
    <col min="8459" max="8460" width="10.5" style="3" customWidth="1"/>
    <col min="8461" max="8461" width="3.5" style="3" customWidth="1"/>
    <col min="8462" max="8462" width="47.1640625" style="3" bestFit="1" customWidth="1"/>
    <col min="8463" max="8463" width="13.1640625" style="3" customWidth="1"/>
    <col min="8464" max="8464" width="12.6640625" style="3" bestFit="1" customWidth="1"/>
    <col min="8465" max="8465" width="9.5" style="3" bestFit="1" customWidth="1"/>
    <col min="8466" max="8466" width="8.83203125" style="3" bestFit="1" customWidth="1"/>
    <col min="8467" max="8467" width="4.83203125" style="3" customWidth="1"/>
    <col min="8468" max="8468" width="46.5" style="3" bestFit="1" customWidth="1"/>
    <col min="8469" max="8469" width="7.5" style="3" bestFit="1" customWidth="1"/>
    <col min="8470" max="8470" width="6.83203125" style="3" customWidth="1"/>
    <col min="8471" max="8472" width="7.5" style="3" bestFit="1" customWidth="1"/>
    <col min="8473" max="8473" width="7" style="3" bestFit="1" customWidth="1"/>
    <col min="8474" max="8475" width="7.5" style="3" bestFit="1" customWidth="1"/>
    <col min="8476" max="8476" width="7.1640625" style="3" bestFit="1" customWidth="1"/>
    <col min="8477" max="8477" width="7.5" style="3" bestFit="1" customWidth="1"/>
    <col min="8478" max="8478" width="4.83203125" style="3" customWidth="1"/>
    <col min="8479" max="8479" width="6" style="3" bestFit="1" customWidth="1"/>
    <col min="8480" max="8480" width="33.33203125" style="3" bestFit="1" customWidth="1"/>
    <col min="8481" max="8481" width="19.6640625" style="3" customWidth="1"/>
    <col min="8482" max="8484" width="12.1640625" style="3" bestFit="1" customWidth="1"/>
    <col min="8485" max="8485" width="10.83203125" style="3" customWidth="1"/>
    <col min="8486" max="8704" width="11.5" style="3"/>
    <col min="8705" max="8705" width="75.83203125" style="3" customWidth="1"/>
    <col min="8706" max="8706" width="76.5" style="3" customWidth="1"/>
    <col min="8707" max="8707" width="43.6640625" style="3" bestFit="1" customWidth="1"/>
    <col min="8708" max="8708" width="10.5" style="3" bestFit="1" customWidth="1"/>
    <col min="8709" max="8710" width="10.5" style="3" customWidth="1"/>
    <col min="8711" max="8711" width="4.5" style="3" customWidth="1"/>
    <col min="8712" max="8712" width="10.5" style="3" bestFit="1" customWidth="1"/>
    <col min="8713" max="8713" width="60.83203125" style="3" bestFit="1" customWidth="1"/>
    <col min="8714" max="8714" width="13" style="3" bestFit="1" customWidth="1"/>
    <col min="8715" max="8716" width="10.5" style="3" customWidth="1"/>
    <col min="8717" max="8717" width="3.5" style="3" customWidth="1"/>
    <col min="8718" max="8718" width="47.1640625" style="3" bestFit="1" customWidth="1"/>
    <col min="8719" max="8719" width="13.1640625" style="3" customWidth="1"/>
    <col min="8720" max="8720" width="12.6640625" style="3" bestFit="1" customWidth="1"/>
    <col min="8721" max="8721" width="9.5" style="3" bestFit="1" customWidth="1"/>
    <col min="8722" max="8722" width="8.83203125" style="3" bestFit="1" customWidth="1"/>
    <col min="8723" max="8723" width="4.83203125" style="3" customWidth="1"/>
    <col min="8724" max="8724" width="46.5" style="3" bestFit="1" customWidth="1"/>
    <col min="8725" max="8725" width="7.5" style="3" bestFit="1" customWidth="1"/>
    <col min="8726" max="8726" width="6.83203125" style="3" customWidth="1"/>
    <col min="8727" max="8728" width="7.5" style="3" bestFit="1" customWidth="1"/>
    <col min="8729" max="8729" width="7" style="3" bestFit="1" customWidth="1"/>
    <col min="8730" max="8731" width="7.5" style="3" bestFit="1" customWidth="1"/>
    <col min="8732" max="8732" width="7.1640625" style="3" bestFit="1" customWidth="1"/>
    <col min="8733" max="8733" width="7.5" style="3" bestFit="1" customWidth="1"/>
    <col min="8734" max="8734" width="4.83203125" style="3" customWidth="1"/>
    <col min="8735" max="8735" width="6" style="3" bestFit="1" customWidth="1"/>
    <col min="8736" max="8736" width="33.33203125" style="3" bestFit="1" customWidth="1"/>
    <col min="8737" max="8737" width="19.6640625" style="3" customWidth="1"/>
    <col min="8738" max="8740" width="12.1640625" style="3" bestFit="1" customWidth="1"/>
    <col min="8741" max="8741" width="10.83203125" style="3" customWidth="1"/>
    <col min="8742" max="8960" width="11.5" style="3"/>
    <col min="8961" max="8961" width="75.83203125" style="3" customWidth="1"/>
    <col min="8962" max="8962" width="76.5" style="3" customWidth="1"/>
    <col min="8963" max="8963" width="43.6640625" style="3" bestFit="1" customWidth="1"/>
    <col min="8964" max="8964" width="10.5" style="3" bestFit="1" customWidth="1"/>
    <col min="8965" max="8966" width="10.5" style="3" customWidth="1"/>
    <col min="8967" max="8967" width="4.5" style="3" customWidth="1"/>
    <col min="8968" max="8968" width="10.5" style="3" bestFit="1" customWidth="1"/>
    <col min="8969" max="8969" width="60.83203125" style="3" bestFit="1" customWidth="1"/>
    <col min="8970" max="8970" width="13" style="3" bestFit="1" customWidth="1"/>
    <col min="8971" max="8972" width="10.5" style="3" customWidth="1"/>
    <col min="8973" max="8973" width="3.5" style="3" customWidth="1"/>
    <col min="8974" max="8974" width="47.1640625" style="3" bestFit="1" customWidth="1"/>
    <col min="8975" max="8975" width="13.1640625" style="3" customWidth="1"/>
    <col min="8976" max="8976" width="12.6640625" style="3" bestFit="1" customWidth="1"/>
    <col min="8977" max="8977" width="9.5" style="3" bestFit="1" customWidth="1"/>
    <col min="8978" max="8978" width="8.83203125" style="3" bestFit="1" customWidth="1"/>
    <col min="8979" max="8979" width="4.83203125" style="3" customWidth="1"/>
    <col min="8980" max="8980" width="46.5" style="3" bestFit="1" customWidth="1"/>
    <col min="8981" max="8981" width="7.5" style="3" bestFit="1" customWidth="1"/>
    <col min="8982" max="8982" width="6.83203125" style="3" customWidth="1"/>
    <col min="8983" max="8984" width="7.5" style="3" bestFit="1" customWidth="1"/>
    <col min="8985" max="8985" width="7" style="3" bestFit="1" customWidth="1"/>
    <col min="8986" max="8987" width="7.5" style="3" bestFit="1" customWidth="1"/>
    <col min="8988" max="8988" width="7.1640625" style="3" bestFit="1" customWidth="1"/>
    <col min="8989" max="8989" width="7.5" style="3" bestFit="1" customWidth="1"/>
    <col min="8990" max="8990" width="4.83203125" style="3" customWidth="1"/>
    <col min="8991" max="8991" width="6" style="3" bestFit="1" customWidth="1"/>
    <col min="8992" max="8992" width="33.33203125" style="3" bestFit="1" customWidth="1"/>
    <col min="8993" max="8993" width="19.6640625" style="3" customWidth="1"/>
    <col min="8994" max="8996" width="12.1640625" style="3" bestFit="1" customWidth="1"/>
    <col min="8997" max="8997" width="10.83203125" style="3" customWidth="1"/>
    <col min="8998" max="9216" width="11.5" style="3"/>
    <col min="9217" max="9217" width="75.83203125" style="3" customWidth="1"/>
    <col min="9218" max="9218" width="76.5" style="3" customWidth="1"/>
    <col min="9219" max="9219" width="43.6640625" style="3" bestFit="1" customWidth="1"/>
    <col min="9220" max="9220" width="10.5" style="3" bestFit="1" customWidth="1"/>
    <col min="9221" max="9222" width="10.5" style="3" customWidth="1"/>
    <col min="9223" max="9223" width="4.5" style="3" customWidth="1"/>
    <col min="9224" max="9224" width="10.5" style="3" bestFit="1" customWidth="1"/>
    <col min="9225" max="9225" width="60.83203125" style="3" bestFit="1" customWidth="1"/>
    <col min="9226" max="9226" width="13" style="3" bestFit="1" customWidth="1"/>
    <col min="9227" max="9228" width="10.5" style="3" customWidth="1"/>
    <col min="9229" max="9229" width="3.5" style="3" customWidth="1"/>
    <col min="9230" max="9230" width="47.1640625" style="3" bestFit="1" customWidth="1"/>
    <col min="9231" max="9231" width="13.1640625" style="3" customWidth="1"/>
    <col min="9232" max="9232" width="12.6640625" style="3" bestFit="1" customWidth="1"/>
    <col min="9233" max="9233" width="9.5" style="3" bestFit="1" customWidth="1"/>
    <col min="9234" max="9234" width="8.83203125" style="3" bestFit="1" customWidth="1"/>
    <col min="9235" max="9235" width="4.83203125" style="3" customWidth="1"/>
    <col min="9236" max="9236" width="46.5" style="3" bestFit="1" customWidth="1"/>
    <col min="9237" max="9237" width="7.5" style="3" bestFit="1" customWidth="1"/>
    <col min="9238" max="9238" width="6.83203125" style="3" customWidth="1"/>
    <col min="9239" max="9240" width="7.5" style="3" bestFit="1" customWidth="1"/>
    <col min="9241" max="9241" width="7" style="3" bestFit="1" customWidth="1"/>
    <col min="9242" max="9243" width="7.5" style="3" bestFit="1" customWidth="1"/>
    <col min="9244" max="9244" width="7.1640625" style="3" bestFit="1" customWidth="1"/>
    <col min="9245" max="9245" width="7.5" style="3" bestFit="1" customWidth="1"/>
    <col min="9246" max="9246" width="4.83203125" style="3" customWidth="1"/>
    <col min="9247" max="9247" width="6" style="3" bestFit="1" customWidth="1"/>
    <col min="9248" max="9248" width="33.33203125" style="3" bestFit="1" customWidth="1"/>
    <col min="9249" max="9249" width="19.6640625" style="3" customWidth="1"/>
    <col min="9250" max="9252" width="12.1640625" style="3" bestFit="1" customWidth="1"/>
    <col min="9253" max="9253" width="10.83203125" style="3" customWidth="1"/>
    <col min="9254" max="9472" width="11.5" style="3"/>
    <col min="9473" max="9473" width="75.83203125" style="3" customWidth="1"/>
    <col min="9474" max="9474" width="76.5" style="3" customWidth="1"/>
    <col min="9475" max="9475" width="43.6640625" style="3" bestFit="1" customWidth="1"/>
    <col min="9476" max="9476" width="10.5" style="3" bestFit="1" customWidth="1"/>
    <col min="9477" max="9478" width="10.5" style="3" customWidth="1"/>
    <col min="9479" max="9479" width="4.5" style="3" customWidth="1"/>
    <col min="9480" max="9480" width="10.5" style="3" bestFit="1" customWidth="1"/>
    <col min="9481" max="9481" width="60.83203125" style="3" bestFit="1" customWidth="1"/>
    <col min="9482" max="9482" width="13" style="3" bestFit="1" customWidth="1"/>
    <col min="9483" max="9484" width="10.5" style="3" customWidth="1"/>
    <col min="9485" max="9485" width="3.5" style="3" customWidth="1"/>
    <col min="9486" max="9486" width="47.1640625" style="3" bestFit="1" customWidth="1"/>
    <col min="9487" max="9487" width="13.1640625" style="3" customWidth="1"/>
    <col min="9488" max="9488" width="12.6640625" style="3" bestFit="1" customWidth="1"/>
    <col min="9489" max="9489" width="9.5" style="3" bestFit="1" customWidth="1"/>
    <col min="9490" max="9490" width="8.83203125" style="3" bestFit="1" customWidth="1"/>
    <col min="9491" max="9491" width="4.83203125" style="3" customWidth="1"/>
    <col min="9492" max="9492" width="46.5" style="3" bestFit="1" customWidth="1"/>
    <col min="9493" max="9493" width="7.5" style="3" bestFit="1" customWidth="1"/>
    <col min="9494" max="9494" width="6.83203125" style="3" customWidth="1"/>
    <col min="9495" max="9496" width="7.5" style="3" bestFit="1" customWidth="1"/>
    <col min="9497" max="9497" width="7" style="3" bestFit="1" customWidth="1"/>
    <col min="9498" max="9499" width="7.5" style="3" bestFit="1" customWidth="1"/>
    <col min="9500" max="9500" width="7.1640625" style="3" bestFit="1" customWidth="1"/>
    <col min="9501" max="9501" width="7.5" style="3" bestFit="1" customWidth="1"/>
    <col min="9502" max="9502" width="4.83203125" style="3" customWidth="1"/>
    <col min="9503" max="9503" width="6" style="3" bestFit="1" customWidth="1"/>
    <col min="9504" max="9504" width="33.33203125" style="3" bestFit="1" customWidth="1"/>
    <col min="9505" max="9505" width="19.6640625" style="3" customWidth="1"/>
    <col min="9506" max="9508" width="12.1640625" style="3" bestFit="1" customWidth="1"/>
    <col min="9509" max="9509" width="10.83203125" style="3" customWidth="1"/>
    <col min="9510" max="9728" width="11.5" style="3"/>
    <col min="9729" max="9729" width="75.83203125" style="3" customWidth="1"/>
    <col min="9730" max="9730" width="76.5" style="3" customWidth="1"/>
    <col min="9731" max="9731" width="43.6640625" style="3" bestFit="1" customWidth="1"/>
    <col min="9732" max="9732" width="10.5" style="3" bestFit="1" customWidth="1"/>
    <col min="9733" max="9734" width="10.5" style="3" customWidth="1"/>
    <col min="9735" max="9735" width="4.5" style="3" customWidth="1"/>
    <col min="9736" max="9736" width="10.5" style="3" bestFit="1" customWidth="1"/>
    <col min="9737" max="9737" width="60.83203125" style="3" bestFit="1" customWidth="1"/>
    <col min="9738" max="9738" width="13" style="3" bestFit="1" customWidth="1"/>
    <col min="9739" max="9740" width="10.5" style="3" customWidth="1"/>
    <col min="9741" max="9741" width="3.5" style="3" customWidth="1"/>
    <col min="9742" max="9742" width="47.1640625" style="3" bestFit="1" customWidth="1"/>
    <col min="9743" max="9743" width="13.1640625" style="3" customWidth="1"/>
    <col min="9744" max="9744" width="12.6640625" style="3" bestFit="1" customWidth="1"/>
    <col min="9745" max="9745" width="9.5" style="3" bestFit="1" customWidth="1"/>
    <col min="9746" max="9746" width="8.83203125" style="3" bestFit="1" customWidth="1"/>
    <col min="9747" max="9747" width="4.83203125" style="3" customWidth="1"/>
    <col min="9748" max="9748" width="46.5" style="3" bestFit="1" customWidth="1"/>
    <col min="9749" max="9749" width="7.5" style="3" bestFit="1" customWidth="1"/>
    <col min="9750" max="9750" width="6.83203125" style="3" customWidth="1"/>
    <col min="9751" max="9752" width="7.5" style="3" bestFit="1" customWidth="1"/>
    <col min="9753" max="9753" width="7" style="3" bestFit="1" customWidth="1"/>
    <col min="9754" max="9755" width="7.5" style="3" bestFit="1" customWidth="1"/>
    <col min="9756" max="9756" width="7.1640625" style="3" bestFit="1" customWidth="1"/>
    <col min="9757" max="9757" width="7.5" style="3" bestFit="1" customWidth="1"/>
    <col min="9758" max="9758" width="4.83203125" style="3" customWidth="1"/>
    <col min="9759" max="9759" width="6" style="3" bestFit="1" customWidth="1"/>
    <col min="9760" max="9760" width="33.33203125" style="3" bestFit="1" customWidth="1"/>
    <col min="9761" max="9761" width="19.6640625" style="3" customWidth="1"/>
    <col min="9762" max="9764" width="12.1640625" style="3" bestFit="1" customWidth="1"/>
    <col min="9765" max="9765" width="10.83203125" style="3" customWidth="1"/>
    <col min="9766" max="9984" width="11.5" style="3"/>
    <col min="9985" max="9985" width="75.83203125" style="3" customWidth="1"/>
    <col min="9986" max="9986" width="76.5" style="3" customWidth="1"/>
    <col min="9987" max="9987" width="43.6640625" style="3" bestFit="1" customWidth="1"/>
    <col min="9988" max="9988" width="10.5" style="3" bestFit="1" customWidth="1"/>
    <col min="9989" max="9990" width="10.5" style="3" customWidth="1"/>
    <col min="9991" max="9991" width="4.5" style="3" customWidth="1"/>
    <col min="9992" max="9992" width="10.5" style="3" bestFit="1" customWidth="1"/>
    <col min="9993" max="9993" width="60.83203125" style="3" bestFit="1" customWidth="1"/>
    <col min="9994" max="9994" width="13" style="3" bestFit="1" customWidth="1"/>
    <col min="9995" max="9996" width="10.5" style="3" customWidth="1"/>
    <col min="9997" max="9997" width="3.5" style="3" customWidth="1"/>
    <col min="9998" max="9998" width="47.1640625" style="3" bestFit="1" customWidth="1"/>
    <col min="9999" max="9999" width="13.1640625" style="3" customWidth="1"/>
    <col min="10000" max="10000" width="12.6640625" style="3" bestFit="1" customWidth="1"/>
    <col min="10001" max="10001" width="9.5" style="3" bestFit="1" customWidth="1"/>
    <col min="10002" max="10002" width="8.83203125" style="3" bestFit="1" customWidth="1"/>
    <col min="10003" max="10003" width="4.83203125" style="3" customWidth="1"/>
    <col min="10004" max="10004" width="46.5" style="3" bestFit="1" customWidth="1"/>
    <col min="10005" max="10005" width="7.5" style="3" bestFit="1" customWidth="1"/>
    <col min="10006" max="10006" width="6.83203125" style="3" customWidth="1"/>
    <col min="10007" max="10008" width="7.5" style="3" bestFit="1" customWidth="1"/>
    <col min="10009" max="10009" width="7" style="3" bestFit="1" customWidth="1"/>
    <col min="10010" max="10011" width="7.5" style="3" bestFit="1" customWidth="1"/>
    <col min="10012" max="10012" width="7.1640625" style="3" bestFit="1" customWidth="1"/>
    <col min="10013" max="10013" width="7.5" style="3" bestFit="1" customWidth="1"/>
    <col min="10014" max="10014" width="4.83203125" style="3" customWidth="1"/>
    <col min="10015" max="10015" width="6" style="3" bestFit="1" customWidth="1"/>
    <col min="10016" max="10016" width="33.33203125" style="3" bestFit="1" customWidth="1"/>
    <col min="10017" max="10017" width="19.6640625" style="3" customWidth="1"/>
    <col min="10018" max="10020" width="12.1640625" style="3" bestFit="1" customWidth="1"/>
    <col min="10021" max="10021" width="10.83203125" style="3" customWidth="1"/>
    <col min="10022" max="10240" width="11.5" style="3"/>
    <col min="10241" max="10241" width="75.83203125" style="3" customWidth="1"/>
    <col min="10242" max="10242" width="76.5" style="3" customWidth="1"/>
    <col min="10243" max="10243" width="43.6640625" style="3" bestFit="1" customWidth="1"/>
    <col min="10244" max="10244" width="10.5" style="3" bestFit="1" customWidth="1"/>
    <col min="10245" max="10246" width="10.5" style="3" customWidth="1"/>
    <col min="10247" max="10247" width="4.5" style="3" customWidth="1"/>
    <col min="10248" max="10248" width="10.5" style="3" bestFit="1" customWidth="1"/>
    <col min="10249" max="10249" width="60.83203125" style="3" bestFit="1" customWidth="1"/>
    <col min="10250" max="10250" width="13" style="3" bestFit="1" customWidth="1"/>
    <col min="10251" max="10252" width="10.5" style="3" customWidth="1"/>
    <col min="10253" max="10253" width="3.5" style="3" customWidth="1"/>
    <col min="10254" max="10254" width="47.1640625" style="3" bestFit="1" customWidth="1"/>
    <col min="10255" max="10255" width="13.1640625" style="3" customWidth="1"/>
    <col min="10256" max="10256" width="12.6640625" style="3" bestFit="1" customWidth="1"/>
    <col min="10257" max="10257" width="9.5" style="3" bestFit="1" customWidth="1"/>
    <col min="10258" max="10258" width="8.83203125" style="3" bestFit="1" customWidth="1"/>
    <col min="10259" max="10259" width="4.83203125" style="3" customWidth="1"/>
    <col min="10260" max="10260" width="46.5" style="3" bestFit="1" customWidth="1"/>
    <col min="10261" max="10261" width="7.5" style="3" bestFit="1" customWidth="1"/>
    <col min="10262" max="10262" width="6.83203125" style="3" customWidth="1"/>
    <col min="10263" max="10264" width="7.5" style="3" bestFit="1" customWidth="1"/>
    <col min="10265" max="10265" width="7" style="3" bestFit="1" customWidth="1"/>
    <col min="10266" max="10267" width="7.5" style="3" bestFit="1" customWidth="1"/>
    <col min="10268" max="10268" width="7.1640625" style="3" bestFit="1" customWidth="1"/>
    <col min="10269" max="10269" width="7.5" style="3" bestFit="1" customWidth="1"/>
    <col min="10270" max="10270" width="4.83203125" style="3" customWidth="1"/>
    <col min="10271" max="10271" width="6" style="3" bestFit="1" customWidth="1"/>
    <col min="10272" max="10272" width="33.33203125" style="3" bestFit="1" customWidth="1"/>
    <col min="10273" max="10273" width="19.6640625" style="3" customWidth="1"/>
    <col min="10274" max="10276" width="12.1640625" style="3" bestFit="1" customWidth="1"/>
    <col min="10277" max="10277" width="10.83203125" style="3" customWidth="1"/>
    <col min="10278" max="10496" width="11.5" style="3"/>
    <col min="10497" max="10497" width="75.83203125" style="3" customWidth="1"/>
    <col min="10498" max="10498" width="76.5" style="3" customWidth="1"/>
    <col min="10499" max="10499" width="43.6640625" style="3" bestFit="1" customWidth="1"/>
    <col min="10500" max="10500" width="10.5" style="3" bestFit="1" customWidth="1"/>
    <col min="10501" max="10502" width="10.5" style="3" customWidth="1"/>
    <col min="10503" max="10503" width="4.5" style="3" customWidth="1"/>
    <col min="10504" max="10504" width="10.5" style="3" bestFit="1" customWidth="1"/>
    <col min="10505" max="10505" width="60.83203125" style="3" bestFit="1" customWidth="1"/>
    <col min="10506" max="10506" width="13" style="3" bestFit="1" customWidth="1"/>
    <col min="10507" max="10508" width="10.5" style="3" customWidth="1"/>
    <col min="10509" max="10509" width="3.5" style="3" customWidth="1"/>
    <col min="10510" max="10510" width="47.1640625" style="3" bestFit="1" customWidth="1"/>
    <col min="10511" max="10511" width="13.1640625" style="3" customWidth="1"/>
    <col min="10512" max="10512" width="12.6640625" style="3" bestFit="1" customWidth="1"/>
    <col min="10513" max="10513" width="9.5" style="3" bestFit="1" customWidth="1"/>
    <col min="10514" max="10514" width="8.83203125" style="3" bestFit="1" customWidth="1"/>
    <col min="10515" max="10515" width="4.83203125" style="3" customWidth="1"/>
    <col min="10516" max="10516" width="46.5" style="3" bestFit="1" customWidth="1"/>
    <col min="10517" max="10517" width="7.5" style="3" bestFit="1" customWidth="1"/>
    <col min="10518" max="10518" width="6.83203125" style="3" customWidth="1"/>
    <col min="10519" max="10520" width="7.5" style="3" bestFit="1" customWidth="1"/>
    <col min="10521" max="10521" width="7" style="3" bestFit="1" customWidth="1"/>
    <col min="10522" max="10523" width="7.5" style="3" bestFit="1" customWidth="1"/>
    <col min="10524" max="10524" width="7.1640625" style="3" bestFit="1" customWidth="1"/>
    <col min="10525" max="10525" width="7.5" style="3" bestFit="1" customWidth="1"/>
    <col min="10526" max="10526" width="4.83203125" style="3" customWidth="1"/>
    <col min="10527" max="10527" width="6" style="3" bestFit="1" customWidth="1"/>
    <col min="10528" max="10528" width="33.33203125" style="3" bestFit="1" customWidth="1"/>
    <col min="10529" max="10529" width="19.6640625" style="3" customWidth="1"/>
    <col min="10530" max="10532" width="12.1640625" style="3" bestFit="1" customWidth="1"/>
    <col min="10533" max="10533" width="10.83203125" style="3" customWidth="1"/>
    <col min="10534" max="10752" width="11.5" style="3"/>
    <col min="10753" max="10753" width="75.83203125" style="3" customWidth="1"/>
    <col min="10754" max="10754" width="76.5" style="3" customWidth="1"/>
    <col min="10755" max="10755" width="43.6640625" style="3" bestFit="1" customWidth="1"/>
    <col min="10756" max="10756" width="10.5" style="3" bestFit="1" customWidth="1"/>
    <col min="10757" max="10758" width="10.5" style="3" customWidth="1"/>
    <col min="10759" max="10759" width="4.5" style="3" customWidth="1"/>
    <col min="10760" max="10760" width="10.5" style="3" bestFit="1" customWidth="1"/>
    <col min="10761" max="10761" width="60.83203125" style="3" bestFit="1" customWidth="1"/>
    <col min="10762" max="10762" width="13" style="3" bestFit="1" customWidth="1"/>
    <col min="10763" max="10764" width="10.5" style="3" customWidth="1"/>
    <col min="10765" max="10765" width="3.5" style="3" customWidth="1"/>
    <col min="10766" max="10766" width="47.1640625" style="3" bestFit="1" customWidth="1"/>
    <col min="10767" max="10767" width="13.1640625" style="3" customWidth="1"/>
    <col min="10768" max="10768" width="12.6640625" style="3" bestFit="1" customWidth="1"/>
    <col min="10769" max="10769" width="9.5" style="3" bestFit="1" customWidth="1"/>
    <col min="10770" max="10770" width="8.83203125" style="3" bestFit="1" customWidth="1"/>
    <col min="10771" max="10771" width="4.83203125" style="3" customWidth="1"/>
    <col min="10772" max="10772" width="46.5" style="3" bestFit="1" customWidth="1"/>
    <col min="10773" max="10773" width="7.5" style="3" bestFit="1" customWidth="1"/>
    <col min="10774" max="10774" width="6.83203125" style="3" customWidth="1"/>
    <col min="10775" max="10776" width="7.5" style="3" bestFit="1" customWidth="1"/>
    <col min="10777" max="10777" width="7" style="3" bestFit="1" customWidth="1"/>
    <col min="10778" max="10779" width="7.5" style="3" bestFit="1" customWidth="1"/>
    <col min="10780" max="10780" width="7.1640625" style="3" bestFit="1" customWidth="1"/>
    <col min="10781" max="10781" width="7.5" style="3" bestFit="1" customWidth="1"/>
    <col min="10782" max="10782" width="4.83203125" style="3" customWidth="1"/>
    <col min="10783" max="10783" width="6" style="3" bestFit="1" customWidth="1"/>
    <col min="10784" max="10784" width="33.33203125" style="3" bestFit="1" customWidth="1"/>
    <col min="10785" max="10785" width="19.6640625" style="3" customWidth="1"/>
    <col min="10786" max="10788" width="12.1640625" style="3" bestFit="1" customWidth="1"/>
    <col min="10789" max="10789" width="10.83203125" style="3" customWidth="1"/>
    <col min="10790" max="11008" width="11.5" style="3"/>
    <col min="11009" max="11009" width="75.83203125" style="3" customWidth="1"/>
    <col min="11010" max="11010" width="76.5" style="3" customWidth="1"/>
    <col min="11011" max="11011" width="43.6640625" style="3" bestFit="1" customWidth="1"/>
    <col min="11012" max="11012" width="10.5" style="3" bestFit="1" customWidth="1"/>
    <col min="11013" max="11014" width="10.5" style="3" customWidth="1"/>
    <col min="11015" max="11015" width="4.5" style="3" customWidth="1"/>
    <col min="11016" max="11016" width="10.5" style="3" bestFit="1" customWidth="1"/>
    <col min="11017" max="11017" width="60.83203125" style="3" bestFit="1" customWidth="1"/>
    <col min="11018" max="11018" width="13" style="3" bestFit="1" customWidth="1"/>
    <col min="11019" max="11020" width="10.5" style="3" customWidth="1"/>
    <col min="11021" max="11021" width="3.5" style="3" customWidth="1"/>
    <col min="11022" max="11022" width="47.1640625" style="3" bestFit="1" customWidth="1"/>
    <col min="11023" max="11023" width="13.1640625" style="3" customWidth="1"/>
    <col min="11024" max="11024" width="12.6640625" style="3" bestFit="1" customWidth="1"/>
    <col min="11025" max="11025" width="9.5" style="3" bestFit="1" customWidth="1"/>
    <col min="11026" max="11026" width="8.83203125" style="3" bestFit="1" customWidth="1"/>
    <col min="11027" max="11027" width="4.83203125" style="3" customWidth="1"/>
    <col min="11028" max="11028" width="46.5" style="3" bestFit="1" customWidth="1"/>
    <col min="11029" max="11029" width="7.5" style="3" bestFit="1" customWidth="1"/>
    <col min="11030" max="11030" width="6.83203125" style="3" customWidth="1"/>
    <col min="11031" max="11032" width="7.5" style="3" bestFit="1" customWidth="1"/>
    <col min="11033" max="11033" width="7" style="3" bestFit="1" customWidth="1"/>
    <col min="11034" max="11035" width="7.5" style="3" bestFit="1" customWidth="1"/>
    <col min="11036" max="11036" width="7.1640625" style="3" bestFit="1" customWidth="1"/>
    <col min="11037" max="11037" width="7.5" style="3" bestFit="1" customWidth="1"/>
    <col min="11038" max="11038" width="4.83203125" style="3" customWidth="1"/>
    <col min="11039" max="11039" width="6" style="3" bestFit="1" customWidth="1"/>
    <col min="11040" max="11040" width="33.33203125" style="3" bestFit="1" customWidth="1"/>
    <col min="11041" max="11041" width="19.6640625" style="3" customWidth="1"/>
    <col min="11042" max="11044" width="12.1640625" style="3" bestFit="1" customWidth="1"/>
    <col min="11045" max="11045" width="10.83203125" style="3" customWidth="1"/>
    <col min="11046" max="11264" width="11.5" style="3"/>
    <col min="11265" max="11265" width="75.83203125" style="3" customWidth="1"/>
    <col min="11266" max="11266" width="76.5" style="3" customWidth="1"/>
    <col min="11267" max="11267" width="43.6640625" style="3" bestFit="1" customWidth="1"/>
    <col min="11268" max="11268" width="10.5" style="3" bestFit="1" customWidth="1"/>
    <col min="11269" max="11270" width="10.5" style="3" customWidth="1"/>
    <col min="11271" max="11271" width="4.5" style="3" customWidth="1"/>
    <col min="11272" max="11272" width="10.5" style="3" bestFit="1" customWidth="1"/>
    <col min="11273" max="11273" width="60.83203125" style="3" bestFit="1" customWidth="1"/>
    <col min="11274" max="11274" width="13" style="3" bestFit="1" customWidth="1"/>
    <col min="11275" max="11276" width="10.5" style="3" customWidth="1"/>
    <col min="11277" max="11277" width="3.5" style="3" customWidth="1"/>
    <col min="11278" max="11278" width="47.1640625" style="3" bestFit="1" customWidth="1"/>
    <col min="11279" max="11279" width="13.1640625" style="3" customWidth="1"/>
    <col min="11280" max="11280" width="12.6640625" style="3" bestFit="1" customWidth="1"/>
    <col min="11281" max="11281" width="9.5" style="3" bestFit="1" customWidth="1"/>
    <col min="11282" max="11282" width="8.83203125" style="3" bestFit="1" customWidth="1"/>
    <col min="11283" max="11283" width="4.83203125" style="3" customWidth="1"/>
    <col min="11284" max="11284" width="46.5" style="3" bestFit="1" customWidth="1"/>
    <col min="11285" max="11285" width="7.5" style="3" bestFit="1" customWidth="1"/>
    <col min="11286" max="11286" width="6.83203125" style="3" customWidth="1"/>
    <col min="11287" max="11288" width="7.5" style="3" bestFit="1" customWidth="1"/>
    <col min="11289" max="11289" width="7" style="3" bestFit="1" customWidth="1"/>
    <col min="11290" max="11291" width="7.5" style="3" bestFit="1" customWidth="1"/>
    <col min="11292" max="11292" width="7.1640625" style="3" bestFit="1" customWidth="1"/>
    <col min="11293" max="11293" width="7.5" style="3" bestFit="1" customWidth="1"/>
    <col min="11294" max="11294" width="4.83203125" style="3" customWidth="1"/>
    <col min="11295" max="11295" width="6" style="3" bestFit="1" customWidth="1"/>
    <col min="11296" max="11296" width="33.33203125" style="3" bestFit="1" customWidth="1"/>
    <col min="11297" max="11297" width="19.6640625" style="3" customWidth="1"/>
    <col min="11298" max="11300" width="12.1640625" style="3" bestFit="1" customWidth="1"/>
    <col min="11301" max="11301" width="10.83203125" style="3" customWidth="1"/>
    <col min="11302" max="11520" width="11.5" style="3"/>
    <col min="11521" max="11521" width="75.83203125" style="3" customWidth="1"/>
    <col min="11522" max="11522" width="76.5" style="3" customWidth="1"/>
    <col min="11523" max="11523" width="43.6640625" style="3" bestFit="1" customWidth="1"/>
    <col min="11524" max="11524" width="10.5" style="3" bestFit="1" customWidth="1"/>
    <col min="11525" max="11526" width="10.5" style="3" customWidth="1"/>
    <col min="11527" max="11527" width="4.5" style="3" customWidth="1"/>
    <col min="11528" max="11528" width="10.5" style="3" bestFit="1" customWidth="1"/>
    <col min="11529" max="11529" width="60.83203125" style="3" bestFit="1" customWidth="1"/>
    <col min="11530" max="11530" width="13" style="3" bestFit="1" customWidth="1"/>
    <col min="11531" max="11532" width="10.5" style="3" customWidth="1"/>
    <col min="11533" max="11533" width="3.5" style="3" customWidth="1"/>
    <col min="11534" max="11534" width="47.1640625" style="3" bestFit="1" customWidth="1"/>
    <col min="11535" max="11535" width="13.1640625" style="3" customWidth="1"/>
    <col min="11536" max="11536" width="12.6640625" style="3" bestFit="1" customWidth="1"/>
    <col min="11537" max="11537" width="9.5" style="3" bestFit="1" customWidth="1"/>
    <col min="11538" max="11538" width="8.83203125" style="3" bestFit="1" customWidth="1"/>
    <col min="11539" max="11539" width="4.83203125" style="3" customWidth="1"/>
    <col min="11540" max="11540" width="46.5" style="3" bestFit="1" customWidth="1"/>
    <col min="11541" max="11541" width="7.5" style="3" bestFit="1" customWidth="1"/>
    <col min="11542" max="11542" width="6.83203125" style="3" customWidth="1"/>
    <col min="11543" max="11544" width="7.5" style="3" bestFit="1" customWidth="1"/>
    <col min="11545" max="11545" width="7" style="3" bestFit="1" customWidth="1"/>
    <col min="11546" max="11547" width="7.5" style="3" bestFit="1" customWidth="1"/>
    <col min="11548" max="11548" width="7.1640625" style="3" bestFit="1" customWidth="1"/>
    <col min="11549" max="11549" width="7.5" style="3" bestFit="1" customWidth="1"/>
    <col min="11550" max="11550" width="4.83203125" style="3" customWidth="1"/>
    <col min="11551" max="11551" width="6" style="3" bestFit="1" customWidth="1"/>
    <col min="11552" max="11552" width="33.33203125" style="3" bestFit="1" customWidth="1"/>
    <col min="11553" max="11553" width="19.6640625" style="3" customWidth="1"/>
    <col min="11554" max="11556" width="12.1640625" style="3" bestFit="1" customWidth="1"/>
    <col min="11557" max="11557" width="10.83203125" style="3" customWidth="1"/>
    <col min="11558" max="11776" width="11.5" style="3"/>
    <col min="11777" max="11777" width="75.83203125" style="3" customWidth="1"/>
    <col min="11778" max="11778" width="76.5" style="3" customWidth="1"/>
    <col min="11779" max="11779" width="43.6640625" style="3" bestFit="1" customWidth="1"/>
    <col min="11780" max="11780" width="10.5" style="3" bestFit="1" customWidth="1"/>
    <col min="11781" max="11782" width="10.5" style="3" customWidth="1"/>
    <col min="11783" max="11783" width="4.5" style="3" customWidth="1"/>
    <col min="11784" max="11784" width="10.5" style="3" bestFit="1" customWidth="1"/>
    <col min="11785" max="11785" width="60.83203125" style="3" bestFit="1" customWidth="1"/>
    <col min="11786" max="11786" width="13" style="3" bestFit="1" customWidth="1"/>
    <col min="11787" max="11788" width="10.5" style="3" customWidth="1"/>
    <col min="11789" max="11789" width="3.5" style="3" customWidth="1"/>
    <col min="11790" max="11790" width="47.1640625" style="3" bestFit="1" customWidth="1"/>
    <col min="11791" max="11791" width="13.1640625" style="3" customWidth="1"/>
    <col min="11792" max="11792" width="12.6640625" style="3" bestFit="1" customWidth="1"/>
    <col min="11793" max="11793" width="9.5" style="3" bestFit="1" customWidth="1"/>
    <col min="11794" max="11794" width="8.83203125" style="3" bestFit="1" customWidth="1"/>
    <col min="11795" max="11795" width="4.83203125" style="3" customWidth="1"/>
    <col min="11796" max="11796" width="46.5" style="3" bestFit="1" customWidth="1"/>
    <col min="11797" max="11797" width="7.5" style="3" bestFit="1" customWidth="1"/>
    <col min="11798" max="11798" width="6.83203125" style="3" customWidth="1"/>
    <col min="11799" max="11800" width="7.5" style="3" bestFit="1" customWidth="1"/>
    <col min="11801" max="11801" width="7" style="3" bestFit="1" customWidth="1"/>
    <col min="11802" max="11803" width="7.5" style="3" bestFit="1" customWidth="1"/>
    <col min="11804" max="11804" width="7.1640625" style="3" bestFit="1" customWidth="1"/>
    <col min="11805" max="11805" width="7.5" style="3" bestFit="1" customWidth="1"/>
    <col min="11806" max="11806" width="4.83203125" style="3" customWidth="1"/>
    <col min="11807" max="11807" width="6" style="3" bestFit="1" customWidth="1"/>
    <col min="11808" max="11808" width="33.33203125" style="3" bestFit="1" customWidth="1"/>
    <col min="11809" max="11809" width="19.6640625" style="3" customWidth="1"/>
    <col min="11810" max="11812" width="12.1640625" style="3" bestFit="1" customWidth="1"/>
    <col min="11813" max="11813" width="10.83203125" style="3" customWidth="1"/>
    <col min="11814" max="12032" width="11.5" style="3"/>
    <col min="12033" max="12033" width="75.83203125" style="3" customWidth="1"/>
    <col min="12034" max="12034" width="76.5" style="3" customWidth="1"/>
    <col min="12035" max="12035" width="43.6640625" style="3" bestFit="1" customWidth="1"/>
    <col min="12036" max="12036" width="10.5" style="3" bestFit="1" customWidth="1"/>
    <col min="12037" max="12038" width="10.5" style="3" customWidth="1"/>
    <col min="12039" max="12039" width="4.5" style="3" customWidth="1"/>
    <col min="12040" max="12040" width="10.5" style="3" bestFit="1" customWidth="1"/>
    <col min="12041" max="12041" width="60.83203125" style="3" bestFit="1" customWidth="1"/>
    <col min="12042" max="12042" width="13" style="3" bestFit="1" customWidth="1"/>
    <col min="12043" max="12044" width="10.5" style="3" customWidth="1"/>
    <col min="12045" max="12045" width="3.5" style="3" customWidth="1"/>
    <col min="12046" max="12046" width="47.1640625" style="3" bestFit="1" customWidth="1"/>
    <col min="12047" max="12047" width="13.1640625" style="3" customWidth="1"/>
    <col min="12048" max="12048" width="12.6640625" style="3" bestFit="1" customWidth="1"/>
    <col min="12049" max="12049" width="9.5" style="3" bestFit="1" customWidth="1"/>
    <col min="12050" max="12050" width="8.83203125" style="3" bestFit="1" customWidth="1"/>
    <col min="12051" max="12051" width="4.83203125" style="3" customWidth="1"/>
    <col min="12052" max="12052" width="46.5" style="3" bestFit="1" customWidth="1"/>
    <col min="12053" max="12053" width="7.5" style="3" bestFit="1" customWidth="1"/>
    <col min="12054" max="12054" width="6.83203125" style="3" customWidth="1"/>
    <col min="12055" max="12056" width="7.5" style="3" bestFit="1" customWidth="1"/>
    <col min="12057" max="12057" width="7" style="3" bestFit="1" customWidth="1"/>
    <col min="12058" max="12059" width="7.5" style="3" bestFit="1" customWidth="1"/>
    <col min="12060" max="12060" width="7.1640625" style="3" bestFit="1" customWidth="1"/>
    <col min="12061" max="12061" width="7.5" style="3" bestFit="1" customWidth="1"/>
    <col min="12062" max="12062" width="4.83203125" style="3" customWidth="1"/>
    <col min="12063" max="12063" width="6" style="3" bestFit="1" customWidth="1"/>
    <col min="12064" max="12064" width="33.33203125" style="3" bestFit="1" customWidth="1"/>
    <col min="12065" max="12065" width="19.6640625" style="3" customWidth="1"/>
    <col min="12066" max="12068" width="12.1640625" style="3" bestFit="1" customWidth="1"/>
    <col min="12069" max="12069" width="10.83203125" style="3" customWidth="1"/>
    <col min="12070" max="12288" width="11.5" style="3"/>
    <col min="12289" max="12289" width="75.83203125" style="3" customWidth="1"/>
    <col min="12290" max="12290" width="76.5" style="3" customWidth="1"/>
    <col min="12291" max="12291" width="43.6640625" style="3" bestFit="1" customWidth="1"/>
    <col min="12292" max="12292" width="10.5" style="3" bestFit="1" customWidth="1"/>
    <col min="12293" max="12294" width="10.5" style="3" customWidth="1"/>
    <col min="12295" max="12295" width="4.5" style="3" customWidth="1"/>
    <col min="12296" max="12296" width="10.5" style="3" bestFit="1" customWidth="1"/>
    <col min="12297" max="12297" width="60.83203125" style="3" bestFit="1" customWidth="1"/>
    <col min="12298" max="12298" width="13" style="3" bestFit="1" customWidth="1"/>
    <col min="12299" max="12300" width="10.5" style="3" customWidth="1"/>
    <col min="12301" max="12301" width="3.5" style="3" customWidth="1"/>
    <col min="12302" max="12302" width="47.1640625" style="3" bestFit="1" customWidth="1"/>
    <col min="12303" max="12303" width="13.1640625" style="3" customWidth="1"/>
    <col min="12304" max="12304" width="12.6640625" style="3" bestFit="1" customWidth="1"/>
    <col min="12305" max="12305" width="9.5" style="3" bestFit="1" customWidth="1"/>
    <col min="12306" max="12306" width="8.83203125" style="3" bestFit="1" customWidth="1"/>
    <col min="12307" max="12307" width="4.83203125" style="3" customWidth="1"/>
    <col min="12308" max="12308" width="46.5" style="3" bestFit="1" customWidth="1"/>
    <col min="12309" max="12309" width="7.5" style="3" bestFit="1" customWidth="1"/>
    <col min="12310" max="12310" width="6.83203125" style="3" customWidth="1"/>
    <col min="12311" max="12312" width="7.5" style="3" bestFit="1" customWidth="1"/>
    <col min="12313" max="12313" width="7" style="3" bestFit="1" customWidth="1"/>
    <col min="12314" max="12315" width="7.5" style="3" bestFit="1" customWidth="1"/>
    <col min="12316" max="12316" width="7.1640625" style="3" bestFit="1" customWidth="1"/>
    <col min="12317" max="12317" width="7.5" style="3" bestFit="1" customWidth="1"/>
    <col min="12318" max="12318" width="4.83203125" style="3" customWidth="1"/>
    <col min="12319" max="12319" width="6" style="3" bestFit="1" customWidth="1"/>
    <col min="12320" max="12320" width="33.33203125" style="3" bestFit="1" customWidth="1"/>
    <col min="12321" max="12321" width="19.6640625" style="3" customWidth="1"/>
    <col min="12322" max="12324" width="12.1640625" style="3" bestFit="1" customWidth="1"/>
    <col min="12325" max="12325" width="10.83203125" style="3" customWidth="1"/>
    <col min="12326" max="12544" width="11.5" style="3"/>
    <col min="12545" max="12545" width="75.83203125" style="3" customWidth="1"/>
    <col min="12546" max="12546" width="76.5" style="3" customWidth="1"/>
    <col min="12547" max="12547" width="43.6640625" style="3" bestFit="1" customWidth="1"/>
    <col min="12548" max="12548" width="10.5" style="3" bestFit="1" customWidth="1"/>
    <col min="12549" max="12550" width="10.5" style="3" customWidth="1"/>
    <col min="12551" max="12551" width="4.5" style="3" customWidth="1"/>
    <col min="12552" max="12552" width="10.5" style="3" bestFit="1" customWidth="1"/>
    <col min="12553" max="12553" width="60.83203125" style="3" bestFit="1" customWidth="1"/>
    <col min="12554" max="12554" width="13" style="3" bestFit="1" customWidth="1"/>
    <col min="12555" max="12556" width="10.5" style="3" customWidth="1"/>
    <col min="12557" max="12557" width="3.5" style="3" customWidth="1"/>
    <col min="12558" max="12558" width="47.1640625" style="3" bestFit="1" customWidth="1"/>
    <col min="12559" max="12559" width="13.1640625" style="3" customWidth="1"/>
    <col min="12560" max="12560" width="12.6640625" style="3" bestFit="1" customWidth="1"/>
    <col min="12561" max="12561" width="9.5" style="3" bestFit="1" customWidth="1"/>
    <col min="12562" max="12562" width="8.83203125" style="3" bestFit="1" customWidth="1"/>
    <col min="12563" max="12563" width="4.83203125" style="3" customWidth="1"/>
    <col min="12564" max="12564" width="46.5" style="3" bestFit="1" customWidth="1"/>
    <col min="12565" max="12565" width="7.5" style="3" bestFit="1" customWidth="1"/>
    <col min="12566" max="12566" width="6.83203125" style="3" customWidth="1"/>
    <col min="12567" max="12568" width="7.5" style="3" bestFit="1" customWidth="1"/>
    <col min="12569" max="12569" width="7" style="3" bestFit="1" customWidth="1"/>
    <col min="12570" max="12571" width="7.5" style="3" bestFit="1" customWidth="1"/>
    <col min="12572" max="12572" width="7.1640625" style="3" bestFit="1" customWidth="1"/>
    <col min="12573" max="12573" width="7.5" style="3" bestFit="1" customWidth="1"/>
    <col min="12574" max="12574" width="4.83203125" style="3" customWidth="1"/>
    <col min="12575" max="12575" width="6" style="3" bestFit="1" customWidth="1"/>
    <col min="12576" max="12576" width="33.33203125" style="3" bestFit="1" customWidth="1"/>
    <col min="12577" max="12577" width="19.6640625" style="3" customWidth="1"/>
    <col min="12578" max="12580" width="12.1640625" style="3" bestFit="1" customWidth="1"/>
    <col min="12581" max="12581" width="10.83203125" style="3" customWidth="1"/>
    <col min="12582" max="12800" width="11.5" style="3"/>
    <col min="12801" max="12801" width="75.83203125" style="3" customWidth="1"/>
    <col min="12802" max="12802" width="76.5" style="3" customWidth="1"/>
    <col min="12803" max="12803" width="43.6640625" style="3" bestFit="1" customWidth="1"/>
    <col min="12804" max="12804" width="10.5" style="3" bestFit="1" customWidth="1"/>
    <col min="12805" max="12806" width="10.5" style="3" customWidth="1"/>
    <col min="12807" max="12807" width="4.5" style="3" customWidth="1"/>
    <col min="12808" max="12808" width="10.5" style="3" bestFit="1" customWidth="1"/>
    <col min="12809" max="12809" width="60.83203125" style="3" bestFit="1" customWidth="1"/>
    <col min="12810" max="12810" width="13" style="3" bestFit="1" customWidth="1"/>
    <col min="12811" max="12812" width="10.5" style="3" customWidth="1"/>
    <col min="12813" max="12813" width="3.5" style="3" customWidth="1"/>
    <col min="12814" max="12814" width="47.1640625" style="3" bestFit="1" customWidth="1"/>
    <col min="12815" max="12815" width="13.1640625" style="3" customWidth="1"/>
    <col min="12816" max="12816" width="12.6640625" style="3" bestFit="1" customWidth="1"/>
    <col min="12817" max="12817" width="9.5" style="3" bestFit="1" customWidth="1"/>
    <col min="12818" max="12818" width="8.83203125" style="3" bestFit="1" customWidth="1"/>
    <col min="12819" max="12819" width="4.83203125" style="3" customWidth="1"/>
    <col min="12820" max="12820" width="46.5" style="3" bestFit="1" customWidth="1"/>
    <col min="12821" max="12821" width="7.5" style="3" bestFit="1" customWidth="1"/>
    <col min="12822" max="12822" width="6.83203125" style="3" customWidth="1"/>
    <col min="12823" max="12824" width="7.5" style="3" bestFit="1" customWidth="1"/>
    <col min="12825" max="12825" width="7" style="3" bestFit="1" customWidth="1"/>
    <col min="12826" max="12827" width="7.5" style="3" bestFit="1" customWidth="1"/>
    <col min="12828" max="12828" width="7.1640625" style="3" bestFit="1" customWidth="1"/>
    <col min="12829" max="12829" width="7.5" style="3" bestFit="1" customWidth="1"/>
    <col min="12830" max="12830" width="4.83203125" style="3" customWidth="1"/>
    <col min="12831" max="12831" width="6" style="3" bestFit="1" customWidth="1"/>
    <col min="12832" max="12832" width="33.33203125" style="3" bestFit="1" customWidth="1"/>
    <col min="12833" max="12833" width="19.6640625" style="3" customWidth="1"/>
    <col min="12834" max="12836" width="12.1640625" style="3" bestFit="1" customWidth="1"/>
    <col min="12837" max="12837" width="10.83203125" style="3" customWidth="1"/>
    <col min="12838" max="13056" width="11.5" style="3"/>
    <col min="13057" max="13057" width="75.83203125" style="3" customWidth="1"/>
    <col min="13058" max="13058" width="76.5" style="3" customWidth="1"/>
    <col min="13059" max="13059" width="43.6640625" style="3" bestFit="1" customWidth="1"/>
    <col min="13060" max="13060" width="10.5" style="3" bestFit="1" customWidth="1"/>
    <col min="13061" max="13062" width="10.5" style="3" customWidth="1"/>
    <col min="13063" max="13063" width="4.5" style="3" customWidth="1"/>
    <col min="13064" max="13064" width="10.5" style="3" bestFit="1" customWidth="1"/>
    <col min="13065" max="13065" width="60.83203125" style="3" bestFit="1" customWidth="1"/>
    <col min="13066" max="13066" width="13" style="3" bestFit="1" customWidth="1"/>
    <col min="13067" max="13068" width="10.5" style="3" customWidth="1"/>
    <col min="13069" max="13069" width="3.5" style="3" customWidth="1"/>
    <col min="13070" max="13070" width="47.1640625" style="3" bestFit="1" customWidth="1"/>
    <col min="13071" max="13071" width="13.1640625" style="3" customWidth="1"/>
    <col min="13072" max="13072" width="12.6640625" style="3" bestFit="1" customWidth="1"/>
    <col min="13073" max="13073" width="9.5" style="3" bestFit="1" customWidth="1"/>
    <col min="13074" max="13074" width="8.83203125" style="3" bestFit="1" customWidth="1"/>
    <col min="13075" max="13075" width="4.83203125" style="3" customWidth="1"/>
    <col min="13076" max="13076" width="46.5" style="3" bestFit="1" customWidth="1"/>
    <col min="13077" max="13077" width="7.5" style="3" bestFit="1" customWidth="1"/>
    <col min="13078" max="13078" width="6.83203125" style="3" customWidth="1"/>
    <col min="13079" max="13080" width="7.5" style="3" bestFit="1" customWidth="1"/>
    <col min="13081" max="13081" width="7" style="3" bestFit="1" customWidth="1"/>
    <col min="13082" max="13083" width="7.5" style="3" bestFit="1" customWidth="1"/>
    <col min="13084" max="13084" width="7.1640625" style="3" bestFit="1" customWidth="1"/>
    <col min="13085" max="13085" width="7.5" style="3" bestFit="1" customWidth="1"/>
    <col min="13086" max="13086" width="4.83203125" style="3" customWidth="1"/>
    <col min="13087" max="13087" width="6" style="3" bestFit="1" customWidth="1"/>
    <col min="13088" max="13088" width="33.33203125" style="3" bestFit="1" customWidth="1"/>
    <col min="13089" max="13089" width="19.6640625" style="3" customWidth="1"/>
    <col min="13090" max="13092" width="12.1640625" style="3" bestFit="1" customWidth="1"/>
    <col min="13093" max="13093" width="10.83203125" style="3" customWidth="1"/>
    <col min="13094" max="13312" width="11.5" style="3"/>
    <col min="13313" max="13313" width="75.83203125" style="3" customWidth="1"/>
    <col min="13314" max="13314" width="76.5" style="3" customWidth="1"/>
    <col min="13315" max="13315" width="43.6640625" style="3" bestFit="1" customWidth="1"/>
    <col min="13316" max="13316" width="10.5" style="3" bestFit="1" customWidth="1"/>
    <col min="13317" max="13318" width="10.5" style="3" customWidth="1"/>
    <col min="13319" max="13319" width="4.5" style="3" customWidth="1"/>
    <col min="13320" max="13320" width="10.5" style="3" bestFit="1" customWidth="1"/>
    <col min="13321" max="13321" width="60.83203125" style="3" bestFit="1" customWidth="1"/>
    <col min="13322" max="13322" width="13" style="3" bestFit="1" customWidth="1"/>
    <col min="13323" max="13324" width="10.5" style="3" customWidth="1"/>
    <col min="13325" max="13325" width="3.5" style="3" customWidth="1"/>
    <col min="13326" max="13326" width="47.1640625" style="3" bestFit="1" customWidth="1"/>
    <col min="13327" max="13327" width="13.1640625" style="3" customWidth="1"/>
    <col min="13328" max="13328" width="12.6640625" style="3" bestFit="1" customWidth="1"/>
    <col min="13329" max="13329" width="9.5" style="3" bestFit="1" customWidth="1"/>
    <col min="13330" max="13330" width="8.83203125" style="3" bestFit="1" customWidth="1"/>
    <col min="13331" max="13331" width="4.83203125" style="3" customWidth="1"/>
    <col min="13332" max="13332" width="46.5" style="3" bestFit="1" customWidth="1"/>
    <col min="13333" max="13333" width="7.5" style="3" bestFit="1" customWidth="1"/>
    <col min="13334" max="13334" width="6.83203125" style="3" customWidth="1"/>
    <col min="13335" max="13336" width="7.5" style="3" bestFit="1" customWidth="1"/>
    <col min="13337" max="13337" width="7" style="3" bestFit="1" customWidth="1"/>
    <col min="13338" max="13339" width="7.5" style="3" bestFit="1" customWidth="1"/>
    <col min="13340" max="13340" width="7.1640625" style="3" bestFit="1" customWidth="1"/>
    <col min="13341" max="13341" width="7.5" style="3" bestFit="1" customWidth="1"/>
    <col min="13342" max="13342" width="4.83203125" style="3" customWidth="1"/>
    <col min="13343" max="13343" width="6" style="3" bestFit="1" customWidth="1"/>
    <col min="13344" max="13344" width="33.33203125" style="3" bestFit="1" customWidth="1"/>
    <col min="13345" max="13345" width="19.6640625" style="3" customWidth="1"/>
    <col min="13346" max="13348" width="12.1640625" style="3" bestFit="1" customWidth="1"/>
    <col min="13349" max="13349" width="10.83203125" style="3" customWidth="1"/>
    <col min="13350" max="13568" width="11.5" style="3"/>
    <col min="13569" max="13569" width="75.83203125" style="3" customWidth="1"/>
    <col min="13570" max="13570" width="76.5" style="3" customWidth="1"/>
    <col min="13571" max="13571" width="43.6640625" style="3" bestFit="1" customWidth="1"/>
    <col min="13572" max="13572" width="10.5" style="3" bestFit="1" customWidth="1"/>
    <col min="13573" max="13574" width="10.5" style="3" customWidth="1"/>
    <col min="13575" max="13575" width="4.5" style="3" customWidth="1"/>
    <col min="13576" max="13576" width="10.5" style="3" bestFit="1" customWidth="1"/>
    <col min="13577" max="13577" width="60.83203125" style="3" bestFit="1" customWidth="1"/>
    <col min="13578" max="13578" width="13" style="3" bestFit="1" customWidth="1"/>
    <col min="13579" max="13580" width="10.5" style="3" customWidth="1"/>
    <col min="13581" max="13581" width="3.5" style="3" customWidth="1"/>
    <col min="13582" max="13582" width="47.1640625" style="3" bestFit="1" customWidth="1"/>
    <col min="13583" max="13583" width="13.1640625" style="3" customWidth="1"/>
    <col min="13584" max="13584" width="12.6640625" style="3" bestFit="1" customWidth="1"/>
    <col min="13585" max="13585" width="9.5" style="3" bestFit="1" customWidth="1"/>
    <col min="13586" max="13586" width="8.83203125" style="3" bestFit="1" customWidth="1"/>
    <col min="13587" max="13587" width="4.83203125" style="3" customWidth="1"/>
    <col min="13588" max="13588" width="46.5" style="3" bestFit="1" customWidth="1"/>
    <col min="13589" max="13589" width="7.5" style="3" bestFit="1" customWidth="1"/>
    <col min="13590" max="13590" width="6.83203125" style="3" customWidth="1"/>
    <col min="13591" max="13592" width="7.5" style="3" bestFit="1" customWidth="1"/>
    <col min="13593" max="13593" width="7" style="3" bestFit="1" customWidth="1"/>
    <col min="13594" max="13595" width="7.5" style="3" bestFit="1" customWidth="1"/>
    <col min="13596" max="13596" width="7.1640625" style="3" bestFit="1" customWidth="1"/>
    <col min="13597" max="13597" width="7.5" style="3" bestFit="1" customWidth="1"/>
    <col min="13598" max="13598" width="4.83203125" style="3" customWidth="1"/>
    <col min="13599" max="13599" width="6" style="3" bestFit="1" customWidth="1"/>
    <col min="13600" max="13600" width="33.33203125" style="3" bestFit="1" customWidth="1"/>
    <col min="13601" max="13601" width="19.6640625" style="3" customWidth="1"/>
    <col min="13602" max="13604" width="12.1640625" style="3" bestFit="1" customWidth="1"/>
    <col min="13605" max="13605" width="10.83203125" style="3" customWidth="1"/>
    <col min="13606" max="13824" width="11.5" style="3"/>
    <col min="13825" max="13825" width="75.83203125" style="3" customWidth="1"/>
    <col min="13826" max="13826" width="76.5" style="3" customWidth="1"/>
    <col min="13827" max="13827" width="43.6640625" style="3" bestFit="1" customWidth="1"/>
    <col min="13828" max="13828" width="10.5" style="3" bestFit="1" customWidth="1"/>
    <col min="13829" max="13830" width="10.5" style="3" customWidth="1"/>
    <col min="13831" max="13831" width="4.5" style="3" customWidth="1"/>
    <col min="13832" max="13832" width="10.5" style="3" bestFit="1" customWidth="1"/>
    <col min="13833" max="13833" width="60.83203125" style="3" bestFit="1" customWidth="1"/>
    <col min="13834" max="13834" width="13" style="3" bestFit="1" customWidth="1"/>
    <col min="13835" max="13836" width="10.5" style="3" customWidth="1"/>
    <col min="13837" max="13837" width="3.5" style="3" customWidth="1"/>
    <col min="13838" max="13838" width="47.1640625" style="3" bestFit="1" customWidth="1"/>
    <col min="13839" max="13839" width="13.1640625" style="3" customWidth="1"/>
    <col min="13840" max="13840" width="12.6640625" style="3" bestFit="1" customWidth="1"/>
    <col min="13841" max="13841" width="9.5" style="3" bestFit="1" customWidth="1"/>
    <col min="13842" max="13842" width="8.83203125" style="3" bestFit="1" customWidth="1"/>
    <col min="13843" max="13843" width="4.83203125" style="3" customWidth="1"/>
    <col min="13844" max="13844" width="46.5" style="3" bestFit="1" customWidth="1"/>
    <col min="13845" max="13845" width="7.5" style="3" bestFit="1" customWidth="1"/>
    <col min="13846" max="13846" width="6.83203125" style="3" customWidth="1"/>
    <col min="13847" max="13848" width="7.5" style="3" bestFit="1" customWidth="1"/>
    <col min="13849" max="13849" width="7" style="3" bestFit="1" customWidth="1"/>
    <col min="13850" max="13851" width="7.5" style="3" bestFit="1" customWidth="1"/>
    <col min="13852" max="13852" width="7.1640625" style="3" bestFit="1" customWidth="1"/>
    <col min="13853" max="13853" width="7.5" style="3" bestFit="1" customWidth="1"/>
    <col min="13854" max="13854" width="4.83203125" style="3" customWidth="1"/>
    <col min="13855" max="13855" width="6" style="3" bestFit="1" customWidth="1"/>
    <col min="13856" max="13856" width="33.33203125" style="3" bestFit="1" customWidth="1"/>
    <col min="13857" max="13857" width="19.6640625" style="3" customWidth="1"/>
    <col min="13858" max="13860" width="12.1640625" style="3" bestFit="1" customWidth="1"/>
    <col min="13861" max="13861" width="10.83203125" style="3" customWidth="1"/>
    <col min="13862" max="14080" width="11.5" style="3"/>
    <col min="14081" max="14081" width="75.83203125" style="3" customWidth="1"/>
    <col min="14082" max="14082" width="76.5" style="3" customWidth="1"/>
    <col min="14083" max="14083" width="43.6640625" style="3" bestFit="1" customWidth="1"/>
    <col min="14084" max="14084" width="10.5" style="3" bestFit="1" customWidth="1"/>
    <col min="14085" max="14086" width="10.5" style="3" customWidth="1"/>
    <col min="14087" max="14087" width="4.5" style="3" customWidth="1"/>
    <col min="14088" max="14088" width="10.5" style="3" bestFit="1" customWidth="1"/>
    <col min="14089" max="14089" width="60.83203125" style="3" bestFit="1" customWidth="1"/>
    <col min="14090" max="14090" width="13" style="3" bestFit="1" customWidth="1"/>
    <col min="14091" max="14092" width="10.5" style="3" customWidth="1"/>
    <col min="14093" max="14093" width="3.5" style="3" customWidth="1"/>
    <col min="14094" max="14094" width="47.1640625" style="3" bestFit="1" customWidth="1"/>
    <col min="14095" max="14095" width="13.1640625" style="3" customWidth="1"/>
    <col min="14096" max="14096" width="12.6640625" style="3" bestFit="1" customWidth="1"/>
    <col min="14097" max="14097" width="9.5" style="3" bestFit="1" customWidth="1"/>
    <col min="14098" max="14098" width="8.83203125" style="3" bestFit="1" customWidth="1"/>
    <col min="14099" max="14099" width="4.83203125" style="3" customWidth="1"/>
    <col min="14100" max="14100" width="46.5" style="3" bestFit="1" customWidth="1"/>
    <col min="14101" max="14101" width="7.5" style="3" bestFit="1" customWidth="1"/>
    <col min="14102" max="14102" width="6.83203125" style="3" customWidth="1"/>
    <col min="14103" max="14104" width="7.5" style="3" bestFit="1" customWidth="1"/>
    <col min="14105" max="14105" width="7" style="3" bestFit="1" customWidth="1"/>
    <col min="14106" max="14107" width="7.5" style="3" bestFit="1" customWidth="1"/>
    <col min="14108" max="14108" width="7.1640625" style="3" bestFit="1" customWidth="1"/>
    <col min="14109" max="14109" width="7.5" style="3" bestFit="1" customWidth="1"/>
    <col min="14110" max="14110" width="4.83203125" style="3" customWidth="1"/>
    <col min="14111" max="14111" width="6" style="3" bestFit="1" customWidth="1"/>
    <col min="14112" max="14112" width="33.33203125" style="3" bestFit="1" customWidth="1"/>
    <col min="14113" max="14113" width="19.6640625" style="3" customWidth="1"/>
    <col min="14114" max="14116" width="12.1640625" style="3" bestFit="1" customWidth="1"/>
    <col min="14117" max="14117" width="10.83203125" style="3" customWidth="1"/>
    <col min="14118" max="14336" width="11.5" style="3"/>
    <col min="14337" max="14337" width="75.83203125" style="3" customWidth="1"/>
    <col min="14338" max="14338" width="76.5" style="3" customWidth="1"/>
    <col min="14339" max="14339" width="43.6640625" style="3" bestFit="1" customWidth="1"/>
    <col min="14340" max="14340" width="10.5" style="3" bestFit="1" customWidth="1"/>
    <col min="14341" max="14342" width="10.5" style="3" customWidth="1"/>
    <col min="14343" max="14343" width="4.5" style="3" customWidth="1"/>
    <col min="14344" max="14344" width="10.5" style="3" bestFit="1" customWidth="1"/>
    <col min="14345" max="14345" width="60.83203125" style="3" bestFit="1" customWidth="1"/>
    <col min="14346" max="14346" width="13" style="3" bestFit="1" customWidth="1"/>
    <col min="14347" max="14348" width="10.5" style="3" customWidth="1"/>
    <col min="14349" max="14349" width="3.5" style="3" customWidth="1"/>
    <col min="14350" max="14350" width="47.1640625" style="3" bestFit="1" customWidth="1"/>
    <col min="14351" max="14351" width="13.1640625" style="3" customWidth="1"/>
    <col min="14352" max="14352" width="12.6640625" style="3" bestFit="1" customWidth="1"/>
    <col min="14353" max="14353" width="9.5" style="3" bestFit="1" customWidth="1"/>
    <col min="14354" max="14354" width="8.83203125" style="3" bestFit="1" customWidth="1"/>
    <col min="14355" max="14355" width="4.83203125" style="3" customWidth="1"/>
    <col min="14356" max="14356" width="46.5" style="3" bestFit="1" customWidth="1"/>
    <col min="14357" max="14357" width="7.5" style="3" bestFit="1" customWidth="1"/>
    <col min="14358" max="14358" width="6.83203125" style="3" customWidth="1"/>
    <col min="14359" max="14360" width="7.5" style="3" bestFit="1" customWidth="1"/>
    <col min="14361" max="14361" width="7" style="3" bestFit="1" customWidth="1"/>
    <col min="14362" max="14363" width="7.5" style="3" bestFit="1" customWidth="1"/>
    <col min="14364" max="14364" width="7.1640625" style="3" bestFit="1" customWidth="1"/>
    <col min="14365" max="14365" width="7.5" style="3" bestFit="1" customWidth="1"/>
    <col min="14366" max="14366" width="4.83203125" style="3" customWidth="1"/>
    <col min="14367" max="14367" width="6" style="3" bestFit="1" customWidth="1"/>
    <col min="14368" max="14368" width="33.33203125" style="3" bestFit="1" customWidth="1"/>
    <col min="14369" max="14369" width="19.6640625" style="3" customWidth="1"/>
    <col min="14370" max="14372" width="12.1640625" style="3" bestFit="1" customWidth="1"/>
    <col min="14373" max="14373" width="10.83203125" style="3" customWidth="1"/>
    <col min="14374" max="14592" width="11.5" style="3"/>
    <col min="14593" max="14593" width="75.83203125" style="3" customWidth="1"/>
    <col min="14594" max="14594" width="76.5" style="3" customWidth="1"/>
    <col min="14595" max="14595" width="43.6640625" style="3" bestFit="1" customWidth="1"/>
    <col min="14596" max="14596" width="10.5" style="3" bestFit="1" customWidth="1"/>
    <col min="14597" max="14598" width="10.5" style="3" customWidth="1"/>
    <col min="14599" max="14599" width="4.5" style="3" customWidth="1"/>
    <col min="14600" max="14600" width="10.5" style="3" bestFit="1" customWidth="1"/>
    <col min="14601" max="14601" width="60.83203125" style="3" bestFit="1" customWidth="1"/>
    <col min="14602" max="14602" width="13" style="3" bestFit="1" customWidth="1"/>
    <col min="14603" max="14604" width="10.5" style="3" customWidth="1"/>
    <col min="14605" max="14605" width="3.5" style="3" customWidth="1"/>
    <col min="14606" max="14606" width="47.1640625" style="3" bestFit="1" customWidth="1"/>
    <col min="14607" max="14607" width="13.1640625" style="3" customWidth="1"/>
    <col min="14608" max="14608" width="12.6640625" style="3" bestFit="1" customWidth="1"/>
    <col min="14609" max="14609" width="9.5" style="3" bestFit="1" customWidth="1"/>
    <col min="14610" max="14610" width="8.83203125" style="3" bestFit="1" customWidth="1"/>
    <col min="14611" max="14611" width="4.83203125" style="3" customWidth="1"/>
    <col min="14612" max="14612" width="46.5" style="3" bestFit="1" customWidth="1"/>
    <col min="14613" max="14613" width="7.5" style="3" bestFit="1" customWidth="1"/>
    <col min="14614" max="14614" width="6.83203125" style="3" customWidth="1"/>
    <col min="14615" max="14616" width="7.5" style="3" bestFit="1" customWidth="1"/>
    <col min="14617" max="14617" width="7" style="3" bestFit="1" customWidth="1"/>
    <col min="14618" max="14619" width="7.5" style="3" bestFit="1" customWidth="1"/>
    <col min="14620" max="14620" width="7.1640625" style="3" bestFit="1" customWidth="1"/>
    <col min="14621" max="14621" width="7.5" style="3" bestFit="1" customWidth="1"/>
    <col min="14622" max="14622" width="4.83203125" style="3" customWidth="1"/>
    <col min="14623" max="14623" width="6" style="3" bestFit="1" customWidth="1"/>
    <col min="14624" max="14624" width="33.33203125" style="3" bestFit="1" customWidth="1"/>
    <col min="14625" max="14625" width="19.6640625" style="3" customWidth="1"/>
    <col min="14626" max="14628" width="12.1640625" style="3" bestFit="1" customWidth="1"/>
    <col min="14629" max="14629" width="10.83203125" style="3" customWidth="1"/>
    <col min="14630" max="14848" width="11.5" style="3"/>
    <col min="14849" max="14849" width="75.83203125" style="3" customWidth="1"/>
    <col min="14850" max="14850" width="76.5" style="3" customWidth="1"/>
    <col min="14851" max="14851" width="43.6640625" style="3" bestFit="1" customWidth="1"/>
    <col min="14852" max="14852" width="10.5" style="3" bestFit="1" customWidth="1"/>
    <col min="14853" max="14854" width="10.5" style="3" customWidth="1"/>
    <col min="14855" max="14855" width="4.5" style="3" customWidth="1"/>
    <col min="14856" max="14856" width="10.5" style="3" bestFit="1" customWidth="1"/>
    <col min="14857" max="14857" width="60.83203125" style="3" bestFit="1" customWidth="1"/>
    <col min="14858" max="14858" width="13" style="3" bestFit="1" customWidth="1"/>
    <col min="14859" max="14860" width="10.5" style="3" customWidth="1"/>
    <col min="14861" max="14861" width="3.5" style="3" customWidth="1"/>
    <col min="14862" max="14862" width="47.1640625" style="3" bestFit="1" customWidth="1"/>
    <col min="14863" max="14863" width="13.1640625" style="3" customWidth="1"/>
    <col min="14864" max="14864" width="12.6640625" style="3" bestFit="1" customWidth="1"/>
    <col min="14865" max="14865" width="9.5" style="3" bestFit="1" customWidth="1"/>
    <col min="14866" max="14866" width="8.83203125" style="3" bestFit="1" customWidth="1"/>
    <col min="14867" max="14867" width="4.83203125" style="3" customWidth="1"/>
    <col min="14868" max="14868" width="46.5" style="3" bestFit="1" customWidth="1"/>
    <col min="14869" max="14869" width="7.5" style="3" bestFit="1" customWidth="1"/>
    <col min="14870" max="14870" width="6.83203125" style="3" customWidth="1"/>
    <col min="14871" max="14872" width="7.5" style="3" bestFit="1" customWidth="1"/>
    <col min="14873" max="14873" width="7" style="3" bestFit="1" customWidth="1"/>
    <col min="14874" max="14875" width="7.5" style="3" bestFit="1" customWidth="1"/>
    <col min="14876" max="14876" width="7.1640625" style="3" bestFit="1" customWidth="1"/>
    <col min="14877" max="14877" width="7.5" style="3" bestFit="1" customWidth="1"/>
    <col min="14878" max="14878" width="4.83203125" style="3" customWidth="1"/>
    <col min="14879" max="14879" width="6" style="3" bestFit="1" customWidth="1"/>
    <col min="14880" max="14880" width="33.33203125" style="3" bestFit="1" customWidth="1"/>
    <col min="14881" max="14881" width="19.6640625" style="3" customWidth="1"/>
    <col min="14882" max="14884" width="12.1640625" style="3" bestFit="1" customWidth="1"/>
    <col min="14885" max="14885" width="10.83203125" style="3" customWidth="1"/>
    <col min="14886" max="15104" width="11.5" style="3"/>
    <col min="15105" max="15105" width="75.83203125" style="3" customWidth="1"/>
    <col min="15106" max="15106" width="76.5" style="3" customWidth="1"/>
    <col min="15107" max="15107" width="43.6640625" style="3" bestFit="1" customWidth="1"/>
    <col min="15108" max="15108" width="10.5" style="3" bestFit="1" customWidth="1"/>
    <col min="15109" max="15110" width="10.5" style="3" customWidth="1"/>
    <col min="15111" max="15111" width="4.5" style="3" customWidth="1"/>
    <col min="15112" max="15112" width="10.5" style="3" bestFit="1" customWidth="1"/>
    <col min="15113" max="15113" width="60.83203125" style="3" bestFit="1" customWidth="1"/>
    <col min="15114" max="15114" width="13" style="3" bestFit="1" customWidth="1"/>
    <col min="15115" max="15116" width="10.5" style="3" customWidth="1"/>
    <col min="15117" max="15117" width="3.5" style="3" customWidth="1"/>
    <col min="15118" max="15118" width="47.1640625" style="3" bestFit="1" customWidth="1"/>
    <col min="15119" max="15119" width="13.1640625" style="3" customWidth="1"/>
    <col min="15120" max="15120" width="12.6640625" style="3" bestFit="1" customWidth="1"/>
    <col min="15121" max="15121" width="9.5" style="3" bestFit="1" customWidth="1"/>
    <col min="15122" max="15122" width="8.83203125" style="3" bestFit="1" customWidth="1"/>
    <col min="15123" max="15123" width="4.83203125" style="3" customWidth="1"/>
    <col min="15124" max="15124" width="46.5" style="3" bestFit="1" customWidth="1"/>
    <col min="15125" max="15125" width="7.5" style="3" bestFit="1" customWidth="1"/>
    <col min="15126" max="15126" width="6.83203125" style="3" customWidth="1"/>
    <col min="15127" max="15128" width="7.5" style="3" bestFit="1" customWidth="1"/>
    <col min="15129" max="15129" width="7" style="3" bestFit="1" customWidth="1"/>
    <col min="15130" max="15131" width="7.5" style="3" bestFit="1" customWidth="1"/>
    <col min="15132" max="15132" width="7.1640625" style="3" bestFit="1" customWidth="1"/>
    <col min="15133" max="15133" width="7.5" style="3" bestFit="1" customWidth="1"/>
    <col min="15134" max="15134" width="4.83203125" style="3" customWidth="1"/>
    <col min="15135" max="15135" width="6" style="3" bestFit="1" customWidth="1"/>
    <col min="15136" max="15136" width="33.33203125" style="3" bestFit="1" customWidth="1"/>
    <col min="15137" max="15137" width="19.6640625" style="3" customWidth="1"/>
    <col min="15138" max="15140" width="12.1640625" style="3" bestFit="1" customWidth="1"/>
    <col min="15141" max="15141" width="10.83203125" style="3" customWidth="1"/>
    <col min="15142" max="15360" width="11.5" style="3"/>
    <col min="15361" max="15361" width="75.83203125" style="3" customWidth="1"/>
    <col min="15362" max="15362" width="76.5" style="3" customWidth="1"/>
    <col min="15363" max="15363" width="43.6640625" style="3" bestFit="1" customWidth="1"/>
    <col min="15364" max="15364" width="10.5" style="3" bestFit="1" customWidth="1"/>
    <col min="15365" max="15366" width="10.5" style="3" customWidth="1"/>
    <col min="15367" max="15367" width="4.5" style="3" customWidth="1"/>
    <col min="15368" max="15368" width="10.5" style="3" bestFit="1" customWidth="1"/>
    <col min="15369" max="15369" width="60.83203125" style="3" bestFit="1" customWidth="1"/>
    <col min="15370" max="15370" width="13" style="3" bestFit="1" customWidth="1"/>
    <col min="15371" max="15372" width="10.5" style="3" customWidth="1"/>
    <col min="15373" max="15373" width="3.5" style="3" customWidth="1"/>
    <col min="15374" max="15374" width="47.1640625" style="3" bestFit="1" customWidth="1"/>
    <col min="15375" max="15375" width="13.1640625" style="3" customWidth="1"/>
    <col min="15376" max="15376" width="12.6640625" style="3" bestFit="1" customWidth="1"/>
    <col min="15377" max="15377" width="9.5" style="3" bestFit="1" customWidth="1"/>
    <col min="15378" max="15378" width="8.83203125" style="3" bestFit="1" customWidth="1"/>
    <col min="15379" max="15379" width="4.83203125" style="3" customWidth="1"/>
    <col min="15380" max="15380" width="46.5" style="3" bestFit="1" customWidth="1"/>
    <col min="15381" max="15381" width="7.5" style="3" bestFit="1" customWidth="1"/>
    <col min="15382" max="15382" width="6.83203125" style="3" customWidth="1"/>
    <col min="15383" max="15384" width="7.5" style="3" bestFit="1" customWidth="1"/>
    <col min="15385" max="15385" width="7" style="3" bestFit="1" customWidth="1"/>
    <col min="15386" max="15387" width="7.5" style="3" bestFit="1" customWidth="1"/>
    <col min="15388" max="15388" width="7.1640625" style="3" bestFit="1" customWidth="1"/>
    <col min="15389" max="15389" width="7.5" style="3" bestFit="1" customWidth="1"/>
    <col min="15390" max="15390" width="4.83203125" style="3" customWidth="1"/>
    <col min="15391" max="15391" width="6" style="3" bestFit="1" customWidth="1"/>
    <col min="15392" max="15392" width="33.33203125" style="3" bestFit="1" customWidth="1"/>
    <col min="15393" max="15393" width="19.6640625" style="3" customWidth="1"/>
    <col min="15394" max="15396" width="12.1640625" style="3" bestFit="1" customWidth="1"/>
    <col min="15397" max="15397" width="10.83203125" style="3" customWidth="1"/>
    <col min="15398" max="15616" width="11.5" style="3"/>
    <col min="15617" max="15617" width="75.83203125" style="3" customWidth="1"/>
    <col min="15618" max="15618" width="76.5" style="3" customWidth="1"/>
    <col min="15619" max="15619" width="43.6640625" style="3" bestFit="1" customWidth="1"/>
    <col min="15620" max="15620" width="10.5" style="3" bestFit="1" customWidth="1"/>
    <col min="15621" max="15622" width="10.5" style="3" customWidth="1"/>
    <col min="15623" max="15623" width="4.5" style="3" customWidth="1"/>
    <col min="15624" max="15624" width="10.5" style="3" bestFit="1" customWidth="1"/>
    <col min="15625" max="15625" width="60.83203125" style="3" bestFit="1" customWidth="1"/>
    <col min="15626" max="15626" width="13" style="3" bestFit="1" customWidth="1"/>
    <col min="15627" max="15628" width="10.5" style="3" customWidth="1"/>
    <col min="15629" max="15629" width="3.5" style="3" customWidth="1"/>
    <col min="15630" max="15630" width="47.1640625" style="3" bestFit="1" customWidth="1"/>
    <col min="15631" max="15631" width="13.1640625" style="3" customWidth="1"/>
    <col min="15632" max="15632" width="12.6640625" style="3" bestFit="1" customWidth="1"/>
    <col min="15633" max="15633" width="9.5" style="3" bestFit="1" customWidth="1"/>
    <col min="15634" max="15634" width="8.83203125" style="3" bestFit="1" customWidth="1"/>
    <col min="15635" max="15635" width="4.83203125" style="3" customWidth="1"/>
    <col min="15636" max="15636" width="46.5" style="3" bestFit="1" customWidth="1"/>
    <col min="15637" max="15637" width="7.5" style="3" bestFit="1" customWidth="1"/>
    <col min="15638" max="15638" width="6.83203125" style="3" customWidth="1"/>
    <col min="15639" max="15640" width="7.5" style="3" bestFit="1" customWidth="1"/>
    <col min="15641" max="15641" width="7" style="3" bestFit="1" customWidth="1"/>
    <col min="15642" max="15643" width="7.5" style="3" bestFit="1" customWidth="1"/>
    <col min="15644" max="15644" width="7.1640625" style="3" bestFit="1" customWidth="1"/>
    <col min="15645" max="15645" width="7.5" style="3" bestFit="1" customWidth="1"/>
    <col min="15646" max="15646" width="4.83203125" style="3" customWidth="1"/>
    <col min="15647" max="15647" width="6" style="3" bestFit="1" customWidth="1"/>
    <col min="15648" max="15648" width="33.33203125" style="3" bestFit="1" customWidth="1"/>
    <col min="15649" max="15649" width="19.6640625" style="3" customWidth="1"/>
    <col min="15650" max="15652" width="12.1640625" style="3" bestFit="1" customWidth="1"/>
    <col min="15653" max="15653" width="10.83203125" style="3" customWidth="1"/>
    <col min="15654" max="15872" width="11.5" style="3"/>
    <col min="15873" max="15873" width="75.83203125" style="3" customWidth="1"/>
    <col min="15874" max="15874" width="76.5" style="3" customWidth="1"/>
    <col min="15875" max="15875" width="43.6640625" style="3" bestFit="1" customWidth="1"/>
    <col min="15876" max="15876" width="10.5" style="3" bestFit="1" customWidth="1"/>
    <col min="15877" max="15878" width="10.5" style="3" customWidth="1"/>
    <col min="15879" max="15879" width="4.5" style="3" customWidth="1"/>
    <col min="15880" max="15880" width="10.5" style="3" bestFit="1" customWidth="1"/>
    <col min="15881" max="15881" width="60.83203125" style="3" bestFit="1" customWidth="1"/>
    <col min="15882" max="15882" width="13" style="3" bestFit="1" customWidth="1"/>
    <col min="15883" max="15884" width="10.5" style="3" customWidth="1"/>
    <col min="15885" max="15885" width="3.5" style="3" customWidth="1"/>
    <col min="15886" max="15886" width="47.1640625" style="3" bestFit="1" customWidth="1"/>
    <col min="15887" max="15887" width="13.1640625" style="3" customWidth="1"/>
    <col min="15888" max="15888" width="12.6640625" style="3" bestFit="1" customWidth="1"/>
    <col min="15889" max="15889" width="9.5" style="3" bestFit="1" customWidth="1"/>
    <col min="15890" max="15890" width="8.83203125" style="3" bestFit="1" customWidth="1"/>
    <col min="15891" max="15891" width="4.83203125" style="3" customWidth="1"/>
    <col min="15892" max="15892" width="46.5" style="3" bestFit="1" customWidth="1"/>
    <col min="15893" max="15893" width="7.5" style="3" bestFit="1" customWidth="1"/>
    <col min="15894" max="15894" width="6.83203125" style="3" customWidth="1"/>
    <col min="15895" max="15896" width="7.5" style="3" bestFit="1" customWidth="1"/>
    <col min="15897" max="15897" width="7" style="3" bestFit="1" customWidth="1"/>
    <col min="15898" max="15899" width="7.5" style="3" bestFit="1" customWidth="1"/>
    <col min="15900" max="15900" width="7.1640625" style="3" bestFit="1" customWidth="1"/>
    <col min="15901" max="15901" width="7.5" style="3" bestFit="1" customWidth="1"/>
    <col min="15902" max="15902" width="4.83203125" style="3" customWidth="1"/>
    <col min="15903" max="15903" width="6" style="3" bestFit="1" customWidth="1"/>
    <col min="15904" max="15904" width="33.33203125" style="3" bestFit="1" customWidth="1"/>
    <col min="15905" max="15905" width="19.6640625" style="3" customWidth="1"/>
    <col min="15906" max="15908" width="12.1640625" style="3" bestFit="1" customWidth="1"/>
    <col min="15909" max="15909" width="10.83203125" style="3" customWidth="1"/>
    <col min="15910" max="16128" width="11.5" style="3"/>
    <col min="16129" max="16129" width="75.83203125" style="3" customWidth="1"/>
    <col min="16130" max="16130" width="76.5" style="3" customWidth="1"/>
    <col min="16131" max="16131" width="43.6640625" style="3" bestFit="1" customWidth="1"/>
    <col min="16132" max="16132" width="10.5" style="3" bestFit="1" customWidth="1"/>
    <col min="16133" max="16134" width="10.5" style="3" customWidth="1"/>
    <col min="16135" max="16135" width="4.5" style="3" customWidth="1"/>
    <col min="16136" max="16136" width="10.5" style="3" bestFit="1" customWidth="1"/>
    <col min="16137" max="16137" width="60.83203125" style="3" bestFit="1" customWidth="1"/>
    <col min="16138" max="16138" width="13" style="3" bestFit="1" customWidth="1"/>
    <col min="16139" max="16140" width="10.5" style="3" customWidth="1"/>
    <col min="16141" max="16141" width="3.5" style="3" customWidth="1"/>
    <col min="16142" max="16142" width="47.1640625" style="3" bestFit="1" customWidth="1"/>
    <col min="16143" max="16143" width="13.1640625" style="3" customWidth="1"/>
    <col min="16144" max="16144" width="12.6640625" style="3" bestFit="1" customWidth="1"/>
    <col min="16145" max="16145" width="9.5" style="3" bestFit="1" customWidth="1"/>
    <col min="16146" max="16146" width="8.83203125" style="3" bestFit="1" customWidth="1"/>
    <col min="16147" max="16147" width="4.83203125" style="3" customWidth="1"/>
    <col min="16148" max="16148" width="46.5" style="3" bestFit="1" customWidth="1"/>
    <col min="16149" max="16149" width="7.5" style="3" bestFit="1" customWidth="1"/>
    <col min="16150" max="16150" width="6.83203125" style="3" customWidth="1"/>
    <col min="16151" max="16152" width="7.5" style="3" bestFit="1" customWidth="1"/>
    <col min="16153" max="16153" width="7" style="3" bestFit="1" customWidth="1"/>
    <col min="16154" max="16155" width="7.5" style="3" bestFit="1" customWidth="1"/>
    <col min="16156" max="16156" width="7.1640625" style="3" bestFit="1" customWidth="1"/>
    <col min="16157" max="16157" width="7.5" style="3" bestFit="1" customWidth="1"/>
    <col min="16158" max="16158" width="4.83203125" style="3" customWidth="1"/>
    <col min="16159" max="16159" width="6" style="3" bestFit="1" customWidth="1"/>
    <col min="16160" max="16160" width="33.33203125" style="3" bestFit="1" customWidth="1"/>
    <col min="16161" max="16161" width="19.6640625" style="3" customWidth="1"/>
    <col min="16162" max="16164" width="12.1640625" style="3" bestFit="1" customWidth="1"/>
    <col min="16165" max="16165" width="10.83203125" style="3" customWidth="1"/>
    <col min="16166" max="16384" width="11.5" style="3"/>
  </cols>
  <sheetData>
    <row r="1" spans="1:37" x14ac:dyDescent="0.2">
      <c r="D1" s="4"/>
      <c r="E1" s="4"/>
      <c r="F1" s="4"/>
      <c r="G1" s="5"/>
      <c r="J1" s="4"/>
      <c r="K1" s="4"/>
      <c r="L1" s="4"/>
      <c r="P1" s="4"/>
      <c r="AF1" s="8" t="s">
        <v>0</v>
      </c>
    </row>
    <row r="2" spans="1:37" s="1" customFormat="1" x14ac:dyDescent="0.2">
      <c r="B2" s="9"/>
      <c r="C2" s="9"/>
      <c r="D2" s="10"/>
      <c r="E2" s="10"/>
      <c r="F2" s="10"/>
      <c r="G2" s="11"/>
      <c r="H2" s="12"/>
      <c r="I2" s="9"/>
      <c r="J2" s="10"/>
      <c r="K2" s="10"/>
      <c r="L2" s="10"/>
      <c r="N2" s="9"/>
      <c r="O2" s="10"/>
      <c r="P2" s="10"/>
      <c r="Q2" s="10"/>
      <c r="R2" s="10"/>
      <c r="T2" s="9"/>
      <c r="U2" s="13"/>
      <c r="V2" s="14"/>
      <c r="W2" s="15"/>
      <c r="X2" s="13"/>
      <c r="Y2" s="14"/>
      <c r="Z2" s="15"/>
      <c r="AA2" s="13"/>
      <c r="AB2" s="14"/>
      <c r="AC2" s="15"/>
      <c r="AE2" s="16"/>
      <c r="AF2" s="17" t="s">
        <v>1</v>
      </c>
      <c r="AG2" s="17"/>
      <c r="AH2" s="17"/>
      <c r="AI2" s="17"/>
      <c r="AJ2" s="18"/>
      <c r="AK2"/>
    </row>
    <row r="3" spans="1:37" s="1" customFormat="1" x14ac:dyDescent="0.2">
      <c r="A3" s="19"/>
      <c r="B3" s="20" t="s">
        <v>2</v>
      </c>
      <c r="C3" s="20" t="s">
        <v>3</v>
      </c>
      <c r="D3" s="21"/>
      <c r="E3" s="21"/>
      <c r="F3" s="21"/>
      <c r="G3" s="11"/>
      <c r="H3" s="22"/>
      <c r="I3" s="20" t="s">
        <v>4</v>
      </c>
      <c r="J3" s="21" t="s">
        <v>5</v>
      </c>
      <c r="K3" s="21" t="s">
        <v>5</v>
      </c>
      <c r="L3" s="21" t="s">
        <v>5</v>
      </c>
      <c r="N3" s="20" t="s">
        <v>6</v>
      </c>
      <c r="O3" s="21"/>
      <c r="P3" s="21"/>
      <c r="Q3" s="21"/>
      <c r="R3" s="21"/>
      <c r="T3" s="20" t="s">
        <v>7</v>
      </c>
      <c r="U3" s="23"/>
      <c r="V3" s="24">
        <f>P4</f>
        <v>2018</v>
      </c>
      <c r="W3" s="25"/>
      <c r="X3" s="23"/>
      <c r="Y3" s="26">
        <f>Q4</f>
        <v>2019</v>
      </c>
      <c r="Z3" s="25"/>
      <c r="AA3" s="23">
        <f>R4</f>
        <v>2020</v>
      </c>
      <c r="AB3" s="26"/>
      <c r="AC3" s="25"/>
      <c r="AE3" s="27" t="s">
        <v>8</v>
      </c>
      <c r="AF3" s="28" t="s">
        <v>9</v>
      </c>
      <c r="AG3" s="28" t="s">
        <v>10</v>
      </c>
      <c r="AH3" s="27" t="s">
        <v>11</v>
      </c>
      <c r="AI3" s="27" t="s">
        <v>11</v>
      </c>
      <c r="AJ3" s="27" t="s">
        <v>11</v>
      </c>
      <c r="AK3" s="3"/>
    </row>
    <row r="4" spans="1:37" s="1" customFormat="1" ht="17.25" customHeight="1" x14ac:dyDescent="0.2">
      <c r="A4" s="29"/>
      <c r="B4" s="20" t="str">
        <f>A34</f>
        <v>SASU Mirabelle</v>
      </c>
      <c r="C4" s="20" t="str">
        <f>+A34</f>
        <v>SASU Mirabelle</v>
      </c>
      <c r="D4" s="157">
        <v>2018</v>
      </c>
      <c r="E4" s="157">
        <f>D4+1</f>
        <v>2019</v>
      </c>
      <c r="F4" s="157">
        <f>E4+1</f>
        <v>2020</v>
      </c>
      <c r="G4" s="11"/>
      <c r="H4" s="30" t="s">
        <v>8</v>
      </c>
      <c r="I4" s="20" t="str">
        <f>C4</f>
        <v>SASU Mirabelle</v>
      </c>
      <c r="J4" s="21">
        <f t="shared" ref="J4:L5" si="0">+D4</f>
        <v>2018</v>
      </c>
      <c r="K4" s="21">
        <f t="shared" si="0"/>
        <v>2019</v>
      </c>
      <c r="L4" s="21">
        <f t="shared" si="0"/>
        <v>2020</v>
      </c>
      <c r="N4" s="20" t="str">
        <f>I4</f>
        <v>SASU Mirabelle</v>
      </c>
      <c r="O4" s="21">
        <f>J4</f>
        <v>2018</v>
      </c>
      <c r="P4" s="21">
        <f>O4</f>
        <v>2018</v>
      </c>
      <c r="Q4" s="21">
        <f>K4</f>
        <v>2019</v>
      </c>
      <c r="R4" s="21">
        <f>L4</f>
        <v>2020</v>
      </c>
      <c r="T4" s="20" t="str">
        <f>N4</f>
        <v>SASU Mirabelle</v>
      </c>
      <c r="U4" s="20" t="s">
        <v>12</v>
      </c>
      <c r="V4" s="20" t="s">
        <v>13</v>
      </c>
      <c r="W4" s="20" t="s">
        <v>14</v>
      </c>
      <c r="X4" s="20" t="s">
        <v>12</v>
      </c>
      <c r="Y4" s="20" t="s">
        <v>13</v>
      </c>
      <c r="Z4" s="20" t="s">
        <v>14</v>
      </c>
      <c r="AA4" s="20" t="s">
        <v>12</v>
      </c>
      <c r="AB4" s="20" t="s">
        <v>13</v>
      </c>
      <c r="AC4" s="20" t="s">
        <v>14</v>
      </c>
      <c r="AE4" s="31"/>
      <c r="AF4" s="32"/>
      <c r="AG4" s="32"/>
      <c r="AH4" s="33">
        <f>P4</f>
        <v>2018</v>
      </c>
      <c r="AI4" s="33">
        <f>Q4</f>
        <v>2019</v>
      </c>
      <c r="AJ4" s="33">
        <f>R4</f>
        <v>2020</v>
      </c>
      <c r="AK4" s="3"/>
    </row>
    <row r="5" spans="1:37" s="1" customFormat="1" x14ac:dyDescent="0.2">
      <c r="A5" s="29"/>
      <c r="B5" s="20"/>
      <c r="C5" s="20"/>
      <c r="D5" s="158" t="s">
        <v>15</v>
      </c>
      <c r="E5" s="158" t="s">
        <v>15</v>
      </c>
      <c r="F5" s="158" t="s">
        <v>15</v>
      </c>
      <c r="G5" s="35"/>
      <c r="H5" s="30" t="s">
        <v>16</v>
      </c>
      <c r="I5" s="20"/>
      <c r="J5" s="34" t="str">
        <f t="shared" si="0"/>
        <v>12 mois</v>
      </c>
      <c r="K5" s="34" t="str">
        <f t="shared" si="0"/>
        <v>12 mois</v>
      </c>
      <c r="L5" s="34" t="str">
        <f t="shared" si="0"/>
        <v>12 mois</v>
      </c>
      <c r="N5" s="20">
        <f>I5</f>
        <v>0</v>
      </c>
      <c r="O5" s="34" t="s">
        <v>17</v>
      </c>
      <c r="P5" s="34" t="str">
        <f>+J5</f>
        <v>12 mois</v>
      </c>
      <c r="Q5" s="34" t="s">
        <v>15</v>
      </c>
      <c r="R5" s="34" t="s">
        <v>15</v>
      </c>
      <c r="T5" s="20">
        <f>N5</f>
        <v>0</v>
      </c>
      <c r="U5" s="20"/>
      <c r="V5" s="20"/>
      <c r="W5" s="20"/>
      <c r="X5" s="20"/>
      <c r="Y5" s="20"/>
      <c r="Z5" s="20"/>
      <c r="AA5" s="20"/>
      <c r="AB5" s="20"/>
      <c r="AC5" s="20"/>
      <c r="AE5" s="36"/>
      <c r="AF5" s="37"/>
      <c r="AG5" s="37"/>
      <c r="AH5" s="38"/>
      <c r="AI5" s="38"/>
      <c r="AJ5" s="38"/>
      <c r="AK5" s="3"/>
    </row>
    <row r="6" spans="1:37" s="1" customFormat="1" x14ac:dyDescent="0.2">
      <c r="A6" s="29"/>
      <c r="B6" s="39" t="s">
        <v>265</v>
      </c>
      <c r="C6" s="39"/>
      <c r="D6" s="40"/>
      <c r="E6" s="40"/>
      <c r="F6" s="40"/>
      <c r="G6" s="11"/>
      <c r="H6" s="162"/>
      <c r="I6" s="50" t="s">
        <v>240</v>
      </c>
      <c r="J6" s="163">
        <v>0.03</v>
      </c>
      <c r="K6" s="163">
        <v>0.03</v>
      </c>
      <c r="L6" s="163">
        <v>0.03</v>
      </c>
      <c r="N6" s="39"/>
      <c r="O6" s="40" t="s">
        <v>18</v>
      </c>
      <c r="P6" s="40" t="s">
        <v>19</v>
      </c>
      <c r="Q6" s="40" t="s">
        <v>19</v>
      </c>
      <c r="R6" s="40" t="s">
        <v>19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E6" s="41">
        <v>1013</v>
      </c>
      <c r="AF6" s="42" t="s">
        <v>20</v>
      </c>
      <c r="AG6" s="42"/>
      <c r="AH6" s="43">
        <f>-O13</f>
        <v>-5000</v>
      </c>
      <c r="AI6" s="43">
        <f>AH6</f>
        <v>-5000</v>
      </c>
      <c r="AJ6" s="43">
        <f>AI6</f>
        <v>-5000</v>
      </c>
      <c r="AK6" s="3"/>
    </row>
    <row r="7" spans="1:37" ht="17" x14ac:dyDescent="0.2">
      <c r="A7" s="29"/>
      <c r="B7" s="44"/>
      <c r="C7" s="45"/>
      <c r="D7" s="46"/>
      <c r="E7" s="46"/>
      <c r="F7" s="46"/>
      <c r="G7" s="47"/>
      <c r="H7" s="48"/>
      <c r="I7" s="49" t="s">
        <v>21</v>
      </c>
      <c r="J7" s="38">
        <f>J9/12</f>
        <v>8333.3333333333339</v>
      </c>
      <c r="K7" s="38">
        <f>K9/12</f>
        <v>9166.6666666666661</v>
      </c>
      <c r="L7" s="38">
        <f>L9/12</f>
        <v>10833.333333333334</v>
      </c>
      <c r="N7" s="38"/>
      <c r="O7" s="38"/>
      <c r="P7" s="38"/>
      <c r="Q7" s="38"/>
      <c r="R7" s="38"/>
      <c r="T7" s="50" t="s">
        <v>22</v>
      </c>
      <c r="U7" s="50"/>
      <c r="V7" s="50"/>
      <c r="W7" s="50"/>
      <c r="X7" s="50"/>
      <c r="Y7" s="50"/>
      <c r="Z7" s="50"/>
      <c r="AA7" s="50"/>
      <c r="AB7" s="50"/>
      <c r="AC7" s="50"/>
      <c r="AE7" s="51">
        <v>1061</v>
      </c>
      <c r="AF7" s="52" t="s">
        <v>23</v>
      </c>
      <c r="AG7" s="52"/>
      <c r="AH7" s="53"/>
      <c r="AI7" s="53"/>
      <c r="AJ7" s="53"/>
      <c r="AK7" s="3"/>
    </row>
    <row r="8" spans="1:37" ht="17" x14ac:dyDescent="0.2">
      <c r="A8" s="182"/>
      <c r="B8" s="173" t="s">
        <v>231</v>
      </c>
      <c r="C8" s="55" t="s">
        <v>24</v>
      </c>
      <c r="D8" s="38"/>
      <c r="E8" s="38"/>
      <c r="F8" s="38"/>
      <c r="G8" s="47"/>
      <c r="H8" s="48"/>
      <c r="I8" s="56" t="s">
        <v>25</v>
      </c>
      <c r="J8" s="57"/>
      <c r="K8" s="58">
        <f>(K9-J9)/J9</f>
        <v>0.1</v>
      </c>
      <c r="L8" s="58">
        <f>(L9-K9)/K9</f>
        <v>0.18181818181818182</v>
      </c>
      <c r="N8" s="59" t="s">
        <v>26</v>
      </c>
      <c r="O8" s="59"/>
      <c r="P8" s="38"/>
      <c r="Q8" s="38"/>
      <c r="R8" s="38"/>
      <c r="T8" s="38"/>
      <c r="U8" s="38"/>
      <c r="V8" s="38"/>
      <c r="W8" s="38"/>
      <c r="X8" s="38"/>
      <c r="Y8" s="38"/>
      <c r="Z8" s="38"/>
      <c r="AA8" s="38"/>
      <c r="AB8" s="38"/>
      <c r="AC8" s="38"/>
      <c r="AE8" s="51">
        <v>1100</v>
      </c>
      <c r="AF8" s="52" t="s">
        <v>27</v>
      </c>
      <c r="AG8" s="52"/>
      <c r="AH8" s="53"/>
      <c r="AI8" s="53">
        <f>AH10+AH9</f>
        <v>-17515.849064016435</v>
      </c>
      <c r="AJ8" s="53">
        <f>AI8+AI10+AI9</f>
        <v>-29781.609415950199</v>
      </c>
      <c r="AK8" s="3"/>
    </row>
    <row r="9" spans="1:37" ht="17" x14ac:dyDescent="0.2">
      <c r="A9" s="188" t="s">
        <v>272</v>
      </c>
      <c r="B9" s="173" t="s">
        <v>28</v>
      </c>
      <c r="C9" s="55" t="s">
        <v>29</v>
      </c>
      <c r="D9" s="38">
        <f>J12</f>
        <v>100000</v>
      </c>
      <c r="E9" s="38">
        <f>K12</f>
        <v>110000</v>
      </c>
      <c r="F9" s="38">
        <f>L12</f>
        <v>130000</v>
      </c>
      <c r="G9" s="47"/>
      <c r="H9" s="48">
        <v>7000</v>
      </c>
      <c r="I9" s="55" t="s">
        <v>30</v>
      </c>
      <c r="J9" s="156">
        <v>100000</v>
      </c>
      <c r="K9" s="156">
        <v>110000</v>
      </c>
      <c r="L9" s="156">
        <v>130000</v>
      </c>
      <c r="N9" s="38"/>
      <c r="O9" s="38"/>
      <c r="P9" s="38"/>
      <c r="Q9" s="38"/>
      <c r="R9" s="38"/>
      <c r="T9" s="60" t="s">
        <v>31</v>
      </c>
      <c r="U9" s="60"/>
      <c r="V9" s="60"/>
      <c r="W9" s="60"/>
      <c r="X9" s="60"/>
      <c r="Y9" s="60"/>
      <c r="Z9" s="60"/>
      <c r="AA9" s="60"/>
      <c r="AB9" s="60"/>
      <c r="AC9" s="60"/>
      <c r="AE9" s="51">
        <v>1080</v>
      </c>
      <c r="AF9" s="61" t="s">
        <v>32</v>
      </c>
      <c r="AG9" s="61"/>
      <c r="AH9" s="53">
        <f>-P19</f>
        <v>0</v>
      </c>
      <c r="AI9" s="53">
        <f>-Q19</f>
        <v>0</v>
      </c>
      <c r="AJ9" s="53">
        <f>-R19</f>
        <v>0</v>
      </c>
      <c r="AK9" s="3"/>
    </row>
    <row r="10" spans="1:37" ht="17" x14ac:dyDescent="0.2">
      <c r="A10" s="182"/>
      <c r="B10" s="173" t="s">
        <v>33</v>
      </c>
      <c r="C10" s="62" t="s">
        <v>34</v>
      </c>
      <c r="D10" s="63">
        <f>SUM(D9)</f>
        <v>100000</v>
      </c>
      <c r="E10" s="63">
        <f>SUM(E9)</f>
        <v>110000</v>
      </c>
      <c r="F10" s="63">
        <f>SUM(F9)</f>
        <v>130000</v>
      </c>
      <c r="G10" s="64"/>
      <c r="H10" s="48">
        <v>7400</v>
      </c>
      <c r="I10" s="55" t="s">
        <v>232</v>
      </c>
      <c r="J10" s="156"/>
      <c r="K10" s="156"/>
      <c r="L10" s="156"/>
      <c r="N10" s="38"/>
      <c r="O10" s="38"/>
      <c r="P10" s="38"/>
      <c r="Q10" s="38"/>
      <c r="R10" s="38"/>
      <c r="T10" s="65" t="s">
        <v>35</v>
      </c>
      <c r="U10" s="65"/>
      <c r="V10" s="65"/>
      <c r="W10" s="65">
        <f>U10</f>
        <v>0</v>
      </c>
      <c r="X10" s="65">
        <f>Z10</f>
        <v>0</v>
      </c>
      <c r="Y10" s="65"/>
      <c r="Z10" s="65">
        <f>W10</f>
        <v>0</v>
      </c>
      <c r="AA10" s="65">
        <f>AC10</f>
        <v>0</v>
      </c>
      <c r="AB10" s="65"/>
      <c r="AC10" s="65">
        <f>Z10</f>
        <v>0</v>
      </c>
      <c r="AE10" s="51">
        <v>1200</v>
      </c>
      <c r="AF10" s="52" t="s">
        <v>36</v>
      </c>
      <c r="AG10" s="52"/>
      <c r="AH10" s="53">
        <f>-J81</f>
        <v>-17515.849064016435</v>
      </c>
      <c r="AI10" s="53">
        <f>-K81</f>
        <v>-12265.760351933764</v>
      </c>
      <c r="AJ10" s="53">
        <f>-L81</f>
        <v>-12661.71066113716</v>
      </c>
      <c r="AK10" s="3"/>
    </row>
    <row r="11" spans="1:37" ht="17" x14ac:dyDescent="0.2">
      <c r="A11" s="182"/>
      <c r="B11" s="173" t="s">
        <v>37</v>
      </c>
      <c r="C11" s="66"/>
      <c r="D11" s="57"/>
      <c r="E11" s="57"/>
      <c r="F11" s="57"/>
      <c r="G11" s="47"/>
      <c r="H11" s="48">
        <v>758</v>
      </c>
      <c r="I11" s="55" t="s">
        <v>38</v>
      </c>
      <c r="J11" s="156"/>
      <c r="K11" s="156"/>
      <c r="L11" s="156"/>
      <c r="N11" s="60" t="s">
        <v>39</v>
      </c>
      <c r="O11" s="60">
        <f>-J85</f>
        <v>-1600</v>
      </c>
      <c r="P11" s="60">
        <f>J81+J71</f>
        <v>19915.849064016435</v>
      </c>
      <c r="Q11" s="60">
        <f>K81+K71</f>
        <v>14665.760351933764</v>
      </c>
      <c r="R11" s="60">
        <f>L81+L71</f>
        <v>15061.71066113716</v>
      </c>
      <c r="T11" s="65" t="s">
        <v>40</v>
      </c>
      <c r="U11" s="65">
        <f>AH13-U10</f>
        <v>12000</v>
      </c>
      <c r="V11" s="65">
        <f>AH14</f>
        <v>-2400</v>
      </c>
      <c r="W11" s="65">
        <f>U11+V11</f>
        <v>9600</v>
      </c>
      <c r="X11" s="65">
        <f>AI13-X10</f>
        <v>12000</v>
      </c>
      <c r="Y11" s="65">
        <f>AI14</f>
        <v>-4800</v>
      </c>
      <c r="Z11" s="65">
        <f>X11+Y11</f>
        <v>7200</v>
      </c>
      <c r="AA11" s="65">
        <f>AJ13-AA10</f>
        <v>12000</v>
      </c>
      <c r="AB11" s="65">
        <f>AJ14</f>
        <v>-7200</v>
      </c>
      <c r="AC11" s="65">
        <f>AA11+AB11</f>
        <v>4800</v>
      </c>
      <c r="AE11" s="51">
        <v>1518</v>
      </c>
      <c r="AF11" s="52" t="s">
        <v>41</v>
      </c>
      <c r="AG11" s="52"/>
      <c r="AH11" s="53"/>
      <c r="AI11" s="53"/>
      <c r="AJ11" s="53"/>
      <c r="AK11" s="3"/>
    </row>
    <row r="12" spans="1:37" ht="17" x14ac:dyDescent="0.2">
      <c r="A12" s="186"/>
      <c r="B12" s="173" t="s">
        <v>42</v>
      </c>
      <c r="C12" s="67" t="s">
        <v>43</v>
      </c>
      <c r="D12" s="68"/>
      <c r="E12" s="68"/>
      <c r="F12" s="68"/>
      <c r="G12" s="47"/>
      <c r="H12" s="69"/>
      <c r="I12" s="70" t="s">
        <v>44</v>
      </c>
      <c r="J12" s="71">
        <f>SUM(J9:J10)</f>
        <v>100000</v>
      </c>
      <c r="K12" s="71">
        <f>SUM(K9:K10)</f>
        <v>110000</v>
      </c>
      <c r="L12" s="71">
        <f>SUM(L9:L10)</f>
        <v>130000</v>
      </c>
      <c r="N12" s="65" t="s">
        <v>45</v>
      </c>
      <c r="O12" s="65"/>
      <c r="P12" s="65"/>
      <c r="Q12" s="65"/>
      <c r="R12" s="65"/>
      <c r="T12" s="72" t="s">
        <v>46</v>
      </c>
      <c r="U12" s="72"/>
      <c r="V12" s="72"/>
      <c r="W12" s="72"/>
      <c r="X12" s="72"/>
      <c r="Y12" s="72"/>
      <c r="Z12" s="72"/>
      <c r="AA12" s="72"/>
      <c r="AB12" s="72"/>
      <c r="AC12" s="72"/>
      <c r="AE12" s="51">
        <v>1600</v>
      </c>
      <c r="AF12" s="52" t="s">
        <v>47</v>
      </c>
      <c r="AG12" s="52"/>
      <c r="AH12" s="53">
        <f>-P14-P22</f>
        <v>-7647.6988578798328</v>
      </c>
      <c r="AI12" s="53">
        <f>AH12-Q22</f>
        <v>-5199.5613378177068</v>
      </c>
      <c r="AJ12" s="53">
        <f>AI12-R22</f>
        <v>-2651.6829179084225</v>
      </c>
      <c r="AK12" s="3"/>
    </row>
    <row r="13" spans="1:37" x14ac:dyDescent="0.2">
      <c r="A13" s="186"/>
      <c r="B13" s="54"/>
      <c r="C13" s="73" t="s">
        <v>48</v>
      </c>
      <c r="D13" s="68"/>
      <c r="E13" s="68"/>
      <c r="F13" s="68"/>
      <c r="G13" s="47"/>
      <c r="H13" s="154"/>
      <c r="I13" s="66"/>
      <c r="J13" s="57"/>
      <c r="K13" s="57"/>
      <c r="L13" s="57"/>
      <c r="N13" s="65" t="s">
        <v>50</v>
      </c>
      <c r="O13" s="168">
        <v>5000</v>
      </c>
      <c r="P13" s="168">
        <f>+O13</f>
        <v>5000</v>
      </c>
      <c r="Q13" s="168"/>
      <c r="R13" s="168"/>
      <c r="T13" s="74" t="s">
        <v>51</v>
      </c>
      <c r="U13" s="74">
        <f>SUM(U10:U12)</f>
        <v>12000</v>
      </c>
      <c r="V13" s="74">
        <f t="shared" ref="V13:AC13" si="1">SUM(V10:V12)</f>
        <v>-2400</v>
      </c>
      <c r="W13" s="74">
        <f t="shared" si="1"/>
        <v>9600</v>
      </c>
      <c r="X13" s="74">
        <f t="shared" si="1"/>
        <v>12000</v>
      </c>
      <c r="Y13" s="74">
        <f t="shared" si="1"/>
        <v>-4800</v>
      </c>
      <c r="Z13" s="74">
        <f t="shared" si="1"/>
        <v>7200</v>
      </c>
      <c r="AA13" s="74">
        <f t="shared" si="1"/>
        <v>12000</v>
      </c>
      <c r="AB13" s="74">
        <f t="shared" si="1"/>
        <v>-7200</v>
      </c>
      <c r="AC13" s="74">
        <f t="shared" si="1"/>
        <v>4800</v>
      </c>
      <c r="AE13" s="51">
        <v>2000</v>
      </c>
      <c r="AF13" s="52" t="s">
        <v>52</v>
      </c>
      <c r="AG13" s="52"/>
      <c r="AH13" s="53">
        <f>P68</f>
        <v>12000</v>
      </c>
      <c r="AI13" s="53">
        <f>AH13+P70</f>
        <v>12000</v>
      </c>
      <c r="AJ13" s="53">
        <f>AI13+P71</f>
        <v>12000</v>
      </c>
      <c r="AK13" s="3"/>
    </row>
    <row r="14" spans="1:37" ht="17" x14ac:dyDescent="0.2">
      <c r="A14" s="187"/>
      <c r="B14" s="54"/>
      <c r="C14" s="73" t="s">
        <v>53</v>
      </c>
      <c r="D14" s="68"/>
      <c r="E14" s="68"/>
      <c r="F14" s="68"/>
      <c r="G14" s="47"/>
      <c r="H14" s="48">
        <v>6070</v>
      </c>
      <c r="I14" s="55" t="s">
        <v>49</v>
      </c>
      <c r="J14" s="156">
        <f>J9/3</f>
        <v>33333.333333333336</v>
      </c>
      <c r="K14" s="156">
        <f t="shared" ref="K14:L14" si="2">K9/3</f>
        <v>36666.666666666664</v>
      </c>
      <c r="L14" s="156">
        <f t="shared" si="2"/>
        <v>43333.333333333336</v>
      </c>
      <c r="N14" s="65" t="s">
        <v>55</v>
      </c>
      <c r="O14" s="168">
        <v>10000</v>
      </c>
      <c r="P14" s="168">
        <f>O14</f>
        <v>10000</v>
      </c>
      <c r="Q14" s="168"/>
      <c r="R14" s="168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E14" s="51">
        <v>2800</v>
      </c>
      <c r="AF14" s="52" t="s">
        <v>56</v>
      </c>
      <c r="AG14" s="52"/>
      <c r="AH14" s="53">
        <f>-J71</f>
        <v>-2400</v>
      </c>
      <c r="AI14" s="53">
        <f>AH14-K71</f>
        <v>-4800</v>
      </c>
      <c r="AJ14" s="53">
        <f>AI14-L71</f>
        <v>-7200</v>
      </c>
      <c r="AK14" s="3"/>
    </row>
    <row r="15" spans="1:37" ht="17" x14ac:dyDescent="0.2">
      <c r="A15" s="186"/>
      <c r="B15" s="173" t="s">
        <v>88</v>
      </c>
      <c r="C15" s="73" t="s">
        <v>57</v>
      </c>
      <c r="D15" s="68"/>
      <c r="E15" s="68"/>
      <c r="F15" s="68"/>
      <c r="G15" s="47"/>
      <c r="H15" s="48" t="s">
        <v>233</v>
      </c>
      <c r="I15" s="55" t="s">
        <v>234</v>
      </c>
      <c r="J15" s="156"/>
      <c r="K15" s="156"/>
      <c r="L15" s="156"/>
      <c r="N15" s="65" t="s">
        <v>59</v>
      </c>
      <c r="O15" s="168">
        <v>3000</v>
      </c>
      <c r="P15" s="168">
        <f>+O15</f>
        <v>3000</v>
      </c>
      <c r="Q15" s="168"/>
      <c r="R15" s="168"/>
      <c r="T15" s="65" t="s">
        <v>60</v>
      </c>
      <c r="U15" s="65"/>
      <c r="V15" s="65"/>
      <c r="W15" s="65"/>
      <c r="X15" s="65"/>
      <c r="Y15" s="65"/>
      <c r="Z15" s="65"/>
      <c r="AA15" s="65"/>
      <c r="AB15" s="65"/>
      <c r="AC15" s="65"/>
      <c r="AE15" s="76">
        <v>4500</v>
      </c>
      <c r="AF15" s="77" t="s">
        <v>61</v>
      </c>
      <c r="AG15" s="77"/>
      <c r="AH15" s="78">
        <f>-P15</f>
        <v>-3000</v>
      </c>
      <c r="AI15" s="78">
        <f>AH15</f>
        <v>-3000</v>
      </c>
      <c r="AJ15" s="78">
        <f>AI15</f>
        <v>-3000</v>
      </c>
      <c r="AK15" s="3"/>
    </row>
    <row r="16" spans="1:37" ht="17" x14ac:dyDescent="0.2">
      <c r="A16" s="186"/>
      <c r="B16" s="174" t="s">
        <v>254</v>
      </c>
      <c r="C16" s="79" t="s">
        <v>62</v>
      </c>
      <c r="D16" s="80"/>
      <c r="E16" s="38"/>
      <c r="F16" s="38"/>
      <c r="G16" s="47"/>
      <c r="H16" s="48"/>
      <c r="I16" s="49" t="s">
        <v>235</v>
      </c>
      <c r="J16" s="38">
        <f>SUM(J14:J15)</f>
        <v>33333.333333333336</v>
      </c>
      <c r="K16" s="38">
        <f t="shared" ref="K16:L16" si="3">SUM(K14:K15)</f>
        <v>36666.666666666664</v>
      </c>
      <c r="L16" s="38">
        <f t="shared" si="3"/>
        <v>43333.333333333336</v>
      </c>
      <c r="N16" s="65" t="s">
        <v>64</v>
      </c>
      <c r="O16" s="65"/>
      <c r="P16" s="65"/>
      <c r="Q16" s="65"/>
      <c r="R16" s="65"/>
      <c r="T16" s="65" t="s">
        <v>65</v>
      </c>
      <c r="U16" s="65">
        <f>AH20</f>
        <v>2739.7260273972602</v>
      </c>
      <c r="V16" s="65"/>
      <c r="W16" s="65">
        <f>U16</f>
        <v>2739.7260273972602</v>
      </c>
      <c r="X16" s="65">
        <f>AI20</f>
        <v>3013.6986301369861</v>
      </c>
      <c r="Y16" s="65"/>
      <c r="Z16" s="65">
        <f>X16</f>
        <v>3013.6986301369861</v>
      </c>
      <c r="AA16" s="65">
        <f>AJ20</f>
        <v>3561.6438356164385</v>
      </c>
      <c r="AB16" s="65"/>
      <c r="AC16" s="65">
        <f>AA16</f>
        <v>3561.6438356164385</v>
      </c>
      <c r="AE16" s="36"/>
      <c r="AF16" s="37"/>
      <c r="AG16" s="37"/>
      <c r="AH16" s="81"/>
      <c r="AI16" s="38"/>
      <c r="AJ16" s="38"/>
      <c r="AK16" s="3"/>
    </row>
    <row r="17" spans="1:37" ht="17" x14ac:dyDescent="0.2">
      <c r="B17" s="54"/>
      <c r="C17" s="62" t="s">
        <v>66</v>
      </c>
      <c r="D17" s="82">
        <f>SUM(D10:D16)</f>
        <v>100000</v>
      </c>
      <c r="E17" s="82">
        <f>SUM(E10:E16)</f>
        <v>110000</v>
      </c>
      <c r="F17" s="82">
        <f>SUM(F10:F16)</f>
        <v>130000</v>
      </c>
      <c r="G17" s="64"/>
      <c r="H17" s="48"/>
      <c r="I17" s="49" t="s">
        <v>236</v>
      </c>
      <c r="J17" s="155">
        <f>J16/J9</f>
        <v>0.33333333333333337</v>
      </c>
      <c r="K17" s="155">
        <f t="shared" ref="K17:L17" si="4">K16/K9</f>
        <v>0.33333333333333331</v>
      </c>
      <c r="L17" s="155">
        <f t="shared" si="4"/>
        <v>0.33333333333333337</v>
      </c>
      <c r="N17" s="83" t="s">
        <v>68</v>
      </c>
      <c r="O17" s="83"/>
      <c r="P17" s="65"/>
      <c r="Q17" s="65"/>
      <c r="R17" s="65"/>
      <c r="T17" s="65" t="s">
        <v>69</v>
      </c>
      <c r="U17" s="65"/>
      <c r="V17" s="65"/>
      <c r="W17" s="65"/>
      <c r="X17" s="65"/>
      <c r="Y17" s="65"/>
      <c r="Z17" s="65"/>
      <c r="AA17" s="65"/>
      <c r="AB17" s="65"/>
      <c r="AC17" s="65"/>
      <c r="AE17" s="84"/>
      <c r="AF17" s="85" t="s">
        <v>70</v>
      </c>
      <c r="AG17" s="85"/>
      <c r="AH17" s="86">
        <f>SUM(AH6:AH15)</f>
        <v>-23563.547921896268</v>
      </c>
      <c r="AI17" s="86">
        <f>SUM(AI6:AI15)</f>
        <v>-35781.170753767903</v>
      </c>
      <c r="AJ17" s="86">
        <f>SUM(AJ6:AJ15)</f>
        <v>-48295.002994995775</v>
      </c>
      <c r="AK17" s="3"/>
    </row>
    <row r="18" spans="1:37" ht="17" x14ac:dyDescent="0.2">
      <c r="B18" s="54"/>
      <c r="C18" s="87"/>
      <c r="D18" s="68"/>
      <c r="E18" s="68"/>
      <c r="F18" s="68"/>
      <c r="G18" s="47"/>
      <c r="H18" s="48"/>
      <c r="I18" s="49" t="s">
        <v>237</v>
      </c>
      <c r="J18" s="38">
        <f>J9/J14</f>
        <v>3</v>
      </c>
      <c r="K18" s="38">
        <f t="shared" ref="K18:L18" si="5">K9/K14</f>
        <v>3</v>
      </c>
      <c r="L18" s="38">
        <f t="shared" si="5"/>
        <v>3</v>
      </c>
      <c r="N18" s="65"/>
      <c r="O18" s="65"/>
      <c r="P18" s="65"/>
      <c r="Q18" s="65"/>
      <c r="R18" s="65"/>
      <c r="T18" s="65" t="s">
        <v>72</v>
      </c>
      <c r="U18" s="65"/>
      <c r="V18" s="65"/>
      <c r="W18" s="65"/>
      <c r="X18" s="65"/>
      <c r="Y18" s="65"/>
      <c r="Z18" s="65"/>
      <c r="AA18" s="65"/>
      <c r="AB18" s="65"/>
      <c r="AC18" s="65"/>
      <c r="AE18" s="88"/>
      <c r="AF18" s="89" t="s">
        <v>73</v>
      </c>
      <c r="AG18" s="89"/>
      <c r="AH18" s="90">
        <f>AH17</f>
        <v>-23563.547921896268</v>
      </c>
      <c r="AI18" s="90">
        <f>AI17-AH17</f>
        <v>-12217.622831871635</v>
      </c>
      <c r="AJ18" s="90">
        <f>AJ17-AI17</f>
        <v>-12513.832241227872</v>
      </c>
      <c r="AK18" s="3"/>
    </row>
    <row r="19" spans="1:37" x14ac:dyDescent="0.2">
      <c r="B19" s="54"/>
      <c r="C19" s="73" t="s">
        <v>74</v>
      </c>
      <c r="D19" s="91">
        <f>J14</f>
        <v>33333.333333333336</v>
      </c>
      <c r="E19" s="91">
        <f>K14</f>
        <v>36666.666666666664</v>
      </c>
      <c r="F19" s="91">
        <f>L14</f>
        <v>43333.333333333336</v>
      </c>
      <c r="G19" s="47"/>
      <c r="H19" s="48"/>
      <c r="I19" s="55"/>
      <c r="J19" s="38"/>
      <c r="K19" s="38"/>
      <c r="L19" s="38"/>
      <c r="N19" s="93" t="s">
        <v>76</v>
      </c>
      <c r="O19" s="93"/>
      <c r="P19" s="93"/>
      <c r="Q19" s="93"/>
      <c r="R19" s="93"/>
      <c r="T19" s="65" t="s">
        <v>77</v>
      </c>
      <c r="U19" s="65">
        <f>AH22</f>
        <v>2301.3698630136987</v>
      </c>
      <c r="V19" s="65"/>
      <c r="W19" s="65">
        <f>U19</f>
        <v>2301.3698630136987</v>
      </c>
      <c r="X19" s="65">
        <f>AI22</f>
        <v>2531.5068493150684</v>
      </c>
      <c r="Y19" s="65"/>
      <c r="Z19" s="65">
        <f>X19</f>
        <v>2531.5068493150684</v>
      </c>
      <c r="AA19" s="65">
        <f>AJ22</f>
        <v>2991.7808219178082</v>
      </c>
      <c r="AB19" s="65"/>
      <c r="AC19" s="65">
        <f>AA19</f>
        <v>2991.7808219178082</v>
      </c>
      <c r="AE19" s="36"/>
      <c r="AF19" s="37"/>
      <c r="AG19" s="37"/>
      <c r="AH19" s="81"/>
      <c r="AI19" s="38"/>
      <c r="AJ19" s="38"/>
      <c r="AK19" s="3"/>
    </row>
    <row r="20" spans="1:37" x14ac:dyDescent="0.2">
      <c r="B20" s="54"/>
      <c r="C20" s="73" t="s">
        <v>78</v>
      </c>
      <c r="D20" s="91"/>
      <c r="E20" s="68"/>
      <c r="F20" s="68"/>
      <c r="G20" s="47"/>
      <c r="H20" s="75">
        <v>6061</v>
      </c>
      <c r="I20" s="73" t="s">
        <v>54</v>
      </c>
      <c r="J20" s="160">
        <v>1500</v>
      </c>
      <c r="K20" s="68">
        <f>+J20*(1+$K$6)</f>
        <v>1545</v>
      </c>
      <c r="L20" s="68">
        <f>K20*(1+$L$6)</f>
        <v>1591.3500000000001</v>
      </c>
      <c r="N20" s="94" t="s">
        <v>80</v>
      </c>
      <c r="O20" s="94">
        <f>O54-P68</f>
        <v>-12000</v>
      </c>
      <c r="P20" s="168">
        <f>+O20</f>
        <v>-12000</v>
      </c>
      <c r="Q20" s="168"/>
      <c r="R20" s="168"/>
      <c r="T20" s="65" t="s">
        <v>81</v>
      </c>
      <c r="U20" s="65"/>
      <c r="V20" s="65"/>
      <c r="W20" s="65"/>
      <c r="X20" s="65"/>
      <c r="Y20" s="65"/>
      <c r="Z20" s="65"/>
      <c r="AA20" s="65"/>
      <c r="AB20" s="65"/>
      <c r="AC20" s="65"/>
      <c r="AE20" s="41">
        <v>3100</v>
      </c>
      <c r="AF20" s="42" t="s">
        <v>82</v>
      </c>
      <c r="AG20" s="164" t="s">
        <v>242</v>
      </c>
      <c r="AH20" s="43">
        <f>+AH41*AH42</f>
        <v>2739.7260273972602</v>
      </c>
      <c r="AI20" s="43">
        <f t="shared" ref="AI20:AJ20" si="6">+AI41*AI42</f>
        <v>3013.6986301369861</v>
      </c>
      <c r="AJ20" s="43">
        <f t="shared" si="6"/>
        <v>3561.6438356164385</v>
      </c>
      <c r="AK20" s="3"/>
    </row>
    <row r="21" spans="1:37" x14ac:dyDescent="0.2">
      <c r="B21" s="95"/>
      <c r="C21" s="73" t="s">
        <v>83</v>
      </c>
      <c r="D21" s="68"/>
      <c r="E21" s="68"/>
      <c r="F21" s="68"/>
      <c r="G21" s="47"/>
      <c r="H21" s="75">
        <v>6063</v>
      </c>
      <c r="I21" s="73" t="s">
        <v>58</v>
      </c>
      <c r="J21" s="160">
        <v>2000</v>
      </c>
      <c r="K21" s="68">
        <f t="shared" ref="K21:K72" si="7">+J21*(1+$K$6)</f>
        <v>2060</v>
      </c>
      <c r="L21" s="68">
        <f t="shared" ref="L21:L72" si="8">K21*(1+$L$6)</f>
        <v>2121.8000000000002</v>
      </c>
      <c r="N21" s="65" t="s">
        <v>85</v>
      </c>
      <c r="O21" s="65"/>
      <c r="P21" s="65"/>
      <c r="Q21" s="65"/>
      <c r="R21" s="65"/>
      <c r="T21" s="65" t="s">
        <v>86</v>
      </c>
      <c r="U21" s="65"/>
      <c r="V21" s="65"/>
      <c r="W21" s="65"/>
      <c r="X21" s="65"/>
      <c r="Y21" s="65"/>
      <c r="Z21" s="65"/>
      <c r="AA21" s="65"/>
      <c r="AB21" s="65"/>
      <c r="AC21" s="65"/>
      <c r="AE21" s="51">
        <v>4010</v>
      </c>
      <c r="AF21" s="52" t="s">
        <v>87</v>
      </c>
      <c r="AG21" s="165" t="s">
        <v>249</v>
      </c>
      <c r="AH21" s="53">
        <f>-AH45*AH46</f>
        <v>-4335.6164383561645</v>
      </c>
      <c r="AI21" s="53">
        <f>-AI45*AI46</f>
        <v>-4769.17808219178</v>
      </c>
      <c r="AJ21" s="53">
        <f>-AJ45*AJ46</f>
        <v>-5636.3013698630139</v>
      </c>
      <c r="AK21" s="3"/>
    </row>
    <row r="22" spans="1:37" x14ac:dyDescent="0.2">
      <c r="B22" s="54"/>
      <c r="C22" s="73" t="s">
        <v>89</v>
      </c>
      <c r="D22" s="68"/>
      <c r="E22" s="68"/>
      <c r="F22" s="68"/>
      <c r="G22" s="47"/>
      <c r="H22" s="75">
        <v>6063</v>
      </c>
      <c r="I22" s="73" t="s">
        <v>63</v>
      </c>
      <c r="J22" s="160">
        <v>389</v>
      </c>
      <c r="K22" s="68">
        <f t="shared" si="7"/>
        <v>400.67</v>
      </c>
      <c r="L22" s="68">
        <f t="shared" si="8"/>
        <v>412.69010000000003</v>
      </c>
      <c r="N22" s="72" t="s">
        <v>91</v>
      </c>
      <c r="O22" s="72"/>
      <c r="P22" s="180">
        <f>-'tab emprunt'!H18</f>
        <v>-2352.3011421201672</v>
      </c>
      <c r="Q22" s="180">
        <f>-'tab emprunt'!H30</f>
        <v>-2448.137520062126</v>
      </c>
      <c r="R22" s="180">
        <f>-'tab emprunt'!H42</f>
        <v>-2547.8784199092843</v>
      </c>
      <c r="T22" s="65" t="s">
        <v>92</v>
      </c>
      <c r="U22" s="65">
        <f>W22</f>
        <v>26102.700657609079</v>
      </c>
      <c r="V22" s="65"/>
      <c r="W22" s="65">
        <f>AH35</f>
        <v>26102.700657609079</v>
      </c>
      <c r="X22" s="65">
        <f>Z22</f>
        <v>34236.865113198925</v>
      </c>
      <c r="Y22" s="65"/>
      <c r="Z22" s="65">
        <f>AI35</f>
        <v>34236.865113198925</v>
      </c>
      <c r="AA22" s="65">
        <f>AC22</f>
        <v>47610.70753130161</v>
      </c>
      <c r="AB22" s="65"/>
      <c r="AC22" s="65">
        <f>AJ35</f>
        <v>47610.70753130161</v>
      </c>
      <c r="AE22" s="51">
        <v>4110</v>
      </c>
      <c r="AF22" s="96" t="s">
        <v>93</v>
      </c>
      <c r="AG22" s="165" t="s">
        <v>241</v>
      </c>
      <c r="AH22" s="53">
        <f>+AH49*AH50</f>
        <v>2301.3698630136987</v>
      </c>
      <c r="AI22" s="53">
        <f>+AI49*AI50</f>
        <v>2531.5068493150684</v>
      </c>
      <c r="AJ22" s="53">
        <f>+AJ49*AJ50</f>
        <v>2991.7808219178082</v>
      </c>
      <c r="AK22" s="3"/>
    </row>
    <row r="23" spans="1:37" x14ac:dyDescent="0.2">
      <c r="B23" s="172"/>
      <c r="C23" s="73" t="s">
        <v>94</v>
      </c>
      <c r="D23" s="68">
        <f>SUM(J20:J49)-D21-D22</f>
        <v>26349</v>
      </c>
      <c r="E23" s="68">
        <f>SUM(K20:K49)-E21-E22</f>
        <v>27139.469999999998</v>
      </c>
      <c r="F23" s="68">
        <f>SUM(L20:L49)-F21-F22</f>
        <v>27953.654100000003</v>
      </c>
      <c r="G23" s="47"/>
      <c r="H23" s="75">
        <v>6063</v>
      </c>
      <c r="I23" s="73" t="s">
        <v>67</v>
      </c>
      <c r="J23" s="160"/>
      <c r="K23" s="68">
        <f t="shared" si="7"/>
        <v>0</v>
      </c>
      <c r="L23" s="68">
        <f t="shared" si="8"/>
        <v>0</v>
      </c>
      <c r="N23" s="38"/>
      <c r="O23" s="38"/>
      <c r="P23" s="38"/>
      <c r="Q23" s="38"/>
      <c r="R23" s="38"/>
      <c r="T23" s="72" t="s">
        <v>96</v>
      </c>
      <c r="U23" s="72"/>
      <c r="V23" s="72"/>
      <c r="W23" s="72"/>
      <c r="X23" s="72"/>
      <c r="Y23" s="72"/>
      <c r="Z23" s="72"/>
      <c r="AA23" s="72"/>
      <c r="AB23" s="72"/>
      <c r="AC23" s="72"/>
      <c r="AE23" s="51">
        <v>4200</v>
      </c>
      <c r="AF23" s="52" t="s">
        <v>97</v>
      </c>
      <c r="AG23" s="165" t="s">
        <v>98</v>
      </c>
      <c r="AH23" s="53"/>
      <c r="AI23" s="53"/>
      <c r="AJ23" s="53"/>
      <c r="AK23" s="3"/>
    </row>
    <row r="24" spans="1:37" x14ac:dyDescent="0.2">
      <c r="B24" s="54"/>
      <c r="C24" s="73" t="s">
        <v>99</v>
      </c>
      <c r="D24" s="91">
        <f>SUM(J50:J59)</f>
        <v>153.60000000000002</v>
      </c>
      <c r="E24" s="91">
        <f>SUM(K50:K59)</f>
        <v>158.20800000000003</v>
      </c>
      <c r="F24" s="91">
        <f>SUM(L50:L59)</f>
        <v>162.95424000000003</v>
      </c>
      <c r="G24" s="47"/>
      <c r="H24" s="75">
        <v>6064</v>
      </c>
      <c r="I24" s="73" t="s">
        <v>71</v>
      </c>
      <c r="J24" s="160">
        <v>830</v>
      </c>
      <c r="K24" s="68">
        <f t="shared" si="7"/>
        <v>854.9</v>
      </c>
      <c r="L24" s="68">
        <f t="shared" si="8"/>
        <v>880.54700000000003</v>
      </c>
      <c r="N24" s="97"/>
      <c r="O24" s="97"/>
      <c r="P24" s="97"/>
      <c r="Q24" s="97"/>
      <c r="R24" s="97"/>
      <c r="T24" s="98" t="s">
        <v>101</v>
      </c>
      <c r="U24" s="98">
        <f>SUM(U15:U23)</f>
        <v>31143.796548020036</v>
      </c>
      <c r="V24" s="98">
        <f t="shared" ref="V24:AC24" si="9">SUM(V15:V23)</f>
        <v>0</v>
      </c>
      <c r="W24" s="98">
        <f t="shared" si="9"/>
        <v>31143.796548020036</v>
      </c>
      <c r="X24" s="98">
        <f t="shared" si="9"/>
        <v>39782.070592650976</v>
      </c>
      <c r="Y24" s="98">
        <f t="shared" si="9"/>
        <v>0</v>
      </c>
      <c r="Z24" s="98">
        <f t="shared" si="9"/>
        <v>39782.070592650976</v>
      </c>
      <c r="AA24" s="98">
        <f t="shared" si="9"/>
        <v>54164.132188835858</v>
      </c>
      <c r="AB24" s="98">
        <f t="shared" si="9"/>
        <v>0</v>
      </c>
      <c r="AC24" s="98">
        <f t="shared" si="9"/>
        <v>54164.132188835858</v>
      </c>
      <c r="AE24" s="51">
        <v>4300</v>
      </c>
      <c r="AF24" s="52" t="s">
        <v>102</v>
      </c>
      <c r="AG24" s="165" t="s">
        <v>98</v>
      </c>
      <c r="AH24" s="53"/>
      <c r="AI24" s="53"/>
      <c r="AJ24" s="53"/>
      <c r="AK24" s="3"/>
    </row>
    <row r="25" spans="1:37" x14ac:dyDescent="0.2">
      <c r="B25" s="54"/>
      <c r="C25" s="73" t="s">
        <v>103</v>
      </c>
      <c r="D25" s="68">
        <f>J60+J61</f>
        <v>12000</v>
      </c>
      <c r="E25" s="68">
        <f>K60+K61</f>
        <v>24000</v>
      </c>
      <c r="F25" s="68">
        <f>L60+L61</f>
        <v>36000</v>
      </c>
      <c r="G25" s="47"/>
      <c r="H25" s="92">
        <v>6122</v>
      </c>
      <c r="I25" s="73" t="s">
        <v>75</v>
      </c>
      <c r="J25" s="160"/>
      <c r="K25" s="68">
        <f t="shared" si="7"/>
        <v>0</v>
      </c>
      <c r="L25" s="68">
        <f t="shared" si="8"/>
        <v>0</v>
      </c>
      <c r="N25" s="100" t="s">
        <v>105</v>
      </c>
      <c r="O25" s="100">
        <f>SUM(O11:O22)</f>
        <v>4400</v>
      </c>
      <c r="P25" s="100">
        <f>SUM(P11:P22)</f>
        <v>23563.547921896272</v>
      </c>
      <c r="Q25" s="100">
        <f>SUM(Q11:Q22)</f>
        <v>12217.622831871638</v>
      </c>
      <c r="R25" s="100">
        <f>SUM(R11:R22)</f>
        <v>12513.832241227876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E25" s="51">
        <v>4400</v>
      </c>
      <c r="AF25" s="52" t="s">
        <v>106</v>
      </c>
      <c r="AG25" s="165" t="s">
        <v>107</v>
      </c>
      <c r="AH25" s="53">
        <f>J86</f>
        <v>-3091.032187767606</v>
      </c>
      <c r="AI25" s="53">
        <f>K86</f>
        <v>926.48624330870643</v>
      </c>
      <c r="AJ25" s="53">
        <f>L86</f>
        <v>-69.873583977069757</v>
      </c>
      <c r="AK25" s="3"/>
    </row>
    <row r="26" spans="1:37" x14ac:dyDescent="0.2">
      <c r="B26" s="54"/>
      <c r="C26" s="73" t="s">
        <v>108</v>
      </c>
      <c r="D26" s="91">
        <f>J62+J64</f>
        <v>0</v>
      </c>
      <c r="E26" s="91">
        <f>K62+K64</f>
        <v>0</v>
      </c>
      <c r="F26" s="91">
        <f>L62+L64</f>
        <v>0</v>
      </c>
      <c r="G26" s="47"/>
      <c r="H26" s="92">
        <v>6125</v>
      </c>
      <c r="I26" s="73" t="s">
        <v>79</v>
      </c>
      <c r="J26" s="160"/>
      <c r="K26" s="68">
        <f t="shared" si="7"/>
        <v>0</v>
      </c>
      <c r="L26" s="68">
        <f t="shared" si="8"/>
        <v>0</v>
      </c>
      <c r="N26" s="100"/>
      <c r="O26" s="100"/>
      <c r="P26" s="100"/>
      <c r="Q26" s="100"/>
      <c r="R26" s="100"/>
      <c r="T26" s="38" t="s">
        <v>110</v>
      </c>
      <c r="U26" s="38"/>
      <c r="V26" s="38"/>
      <c r="W26" s="38"/>
      <c r="X26" s="38"/>
      <c r="Y26" s="38"/>
      <c r="Z26" s="38"/>
      <c r="AA26" s="38"/>
      <c r="AB26" s="38"/>
      <c r="AC26" s="38"/>
      <c r="AE26" s="51">
        <v>4482</v>
      </c>
      <c r="AF26" s="52" t="s">
        <v>111</v>
      </c>
      <c r="AG26" s="165" t="s">
        <v>112</v>
      </c>
      <c r="AH26" s="53">
        <f>(J50+J51+J52)*-1</f>
        <v>-153.60000000000002</v>
      </c>
      <c r="AI26" s="53">
        <f>(K50+K51+K52)*-1</f>
        <v>-158.20800000000003</v>
      </c>
      <c r="AJ26" s="53">
        <f>(L50+L51+L52)*-1</f>
        <v>-162.95424000000003</v>
      </c>
      <c r="AK26" s="3"/>
    </row>
    <row r="27" spans="1:37" x14ac:dyDescent="0.2">
      <c r="B27" s="44"/>
      <c r="C27" s="73" t="s">
        <v>113</v>
      </c>
      <c r="D27" s="68">
        <f>+J63</f>
        <v>4800</v>
      </c>
      <c r="E27" s="68">
        <f>+K63</f>
        <v>4944</v>
      </c>
      <c r="F27" s="68">
        <f>+L63</f>
        <v>5092.32</v>
      </c>
      <c r="G27" s="47"/>
      <c r="H27" s="92">
        <v>6132</v>
      </c>
      <c r="I27" s="73" t="s">
        <v>84</v>
      </c>
      <c r="J27" s="160">
        <v>10000</v>
      </c>
      <c r="K27" s="68">
        <f t="shared" si="7"/>
        <v>10300</v>
      </c>
      <c r="L27" s="68">
        <f t="shared" si="8"/>
        <v>10609</v>
      </c>
      <c r="N27" s="101"/>
      <c r="O27" s="101"/>
      <c r="P27" s="101"/>
      <c r="Q27" s="101"/>
      <c r="R27" s="101"/>
      <c r="T27" s="102" t="s">
        <v>115</v>
      </c>
      <c r="U27" s="103">
        <f>+U13+U24+U26</f>
        <v>43143.796548020036</v>
      </c>
      <c r="V27" s="103">
        <f t="shared" ref="V27:AC27" si="10">+V13+V24+V26</f>
        <v>-2400</v>
      </c>
      <c r="W27" s="103">
        <f t="shared" si="10"/>
        <v>40743.796548020036</v>
      </c>
      <c r="X27" s="103">
        <f t="shared" si="10"/>
        <v>51782.070592650976</v>
      </c>
      <c r="Y27" s="103">
        <f t="shared" si="10"/>
        <v>-4800</v>
      </c>
      <c r="Z27" s="103">
        <f t="shared" si="10"/>
        <v>46982.070592650976</v>
      </c>
      <c r="AA27" s="103">
        <f t="shared" si="10"/>
        <v>66164.132188835851</v>
      </c>
      <c r="AB27" s="103">
        <f t="shared" si="10"/>
        <v>-7200</v>
      </c>
      <c r="AC27" s="103">
        <f t="shared" si="10"/>
        <v>58964.132188835858</v>
      </c>
      <c r="AE27" s="76"/>
      <c r="AF27" s="77"/>
      <c r="AG27" s="77"/>
      <c r="AH27" s="78"/>
      <c r="AI27" s="78"/>
      <c r="AJ27" s="78"/>
      <c r="AK27" s="3"/>
    </row>
    <row r="28" spans="1:37" x14ac:dyDescent="0.2">
      <c r="A28" s="182" t="s">
        <v>229</v>
      </c>
      <c r="B28" s="104"/>
      <c r="C28" s="73" t="s">
        <v>116</v>
      </c>
      <c r="D28" s="68">
        <f>J71</f>
        <v>2400</v>
      </c>
      <c r="E28" s="68">
        <f>K71</f>
        <v>2400</v>
      </c>
      <c r="F28" s="68">
        <f>L71</f>
        <v>2400</v>
      </c>
      <c r="G28" s="47"/>
      <c r="H28" s="92">
        <v>6130</v>
      </c>
      <c r="I28" s="73" t="s">
        <v>90</v>
      </c>
      <c r="J28" s="160"/>
      <c r="K28" s="68">
        <f t="shared" si="7"/>
        <v>0</v>
      </c>
      <c r="L28" s="68">
        <f t="shared" si="8"/>
        <v>0</v>
      </c>
      <c r="N28" s="9"/>
      <c r="O28" s="10"/>
      <c r="P28" s="10"/>
      <c r="Q28" s="10"/>
      <c r="R28" s="10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E28" s="36"/>
      <c r="AF28" s="37"/>
      <c r="AG28" s="37"/>
      <c r="AH28" s="38"/>
      <c r="AI28" s="38"/>
      <c r="AJ28" s="38"/>
      <c r="AK28" s="3"/>
    </row>
    <row r="29" spans="1:37" x14ac:dyDescent="0.2">
      <c r="B29" s="44"/>
      <c r="C29" s="73" t="s">
        <v>118</v>
      </c>
      <c r="D29" s="68"/>
      <c r="E29" s="68"/>
      <c r="F29" s="68"/>
      <c r="G29" s="47"/>
      <c r="H29" s="75">
        <v>6130</v>
      </c>
      <c r="I29" s="73" t="s">
        <v>95</v>
      </c>
      <c r="J29" s="160"/>
      <c r="K29" s="68">
        <f t="shared" si="7"/>
        <v>0</v>
      </c>
      <c r="L29" s="68">
        <f t="shared" si="8"/>
        <v>0</v>
      </c>
      <c r="N29" s="20" t="s">
        <v>6</v>
      </c>
      <c r="O29" s="21"/>
      <c r="P29" s="21"/>
      <c r="Q29" s="21"/>
      <c r="R29" s="21"/>
      <c r="T29" s="50" t="s">
        <v>120</v>
      </c>
      <c r="U29" s="50"/>
      <c r="V29" s="50"/>
      <c r="W29" s="50"/>
      <c r="X29" s="50"/>
      <c r="Y29" s="50"/>
      <c r="Z29" s="50"/>
      <c r="AA29" s="50"/>
      <c r="AB29" s="50"/>
      <c r="AC29" s="50"/>
      <c r="AE29" s="84"/>
      <c r="AF29" s="105" t="s">
        <v>121</v>
      </c>
      <c r="AG29" s="105"/>
      <c r="AH29" s="46">
        <f>SUM(AH20:AH27)</f>
        <v>-2539.1527357128116</v>
      </c>
      <c r="AI29" s="46">
        <f>SUM(AI20:AI27)</f>
        <v>1544.3056405689808</v>
      </c>
      <c r="AJ29" s="46">
        <f>SUM(AJ20:AJ27)</f>
        <v>684.29546369416312</v>
      </c>
      <c r="AK29" s="3"/>
    </row>
    <row r="30" spans="1:37" x14ac:dyDescent="0.2">
      <c r="A30" s="106"/>
      <c r="B30" s="44"/>
      <c r="C30" s="73" t="s">
        <v>122</v>
      </c>
      <c r="D30" s="91"/>
      <c r="E30" s="91"/>
      <c r="F30" s="91"/>
      <c r="G30" s="47"/>
      <c r="H30" s="75">
        <v>6155</v>
      </c>
      <c r="I30" s="73" t="s">
        <v>100</v>
      </c>
      <c r="J30" s="160"/>
      <c r="K30" s="68">
        <f t="shared" si="7"/>
        <v>0</v>
      </c>
      <c r="L30" s="68">
        <f t="shared" si="8"/>
        <v>0</v>
      </c>
      <c r="N30" s="20" t="str">
        <f>N4</f>
        <v>SASU Mirabelle</v>
      </c>
      <c r="O30" s="21">
        <f>O4</f>
        <v>2018</v>
      </c>
      <c r="P30" s="21">
        <f>O30</f>
        <v>2018</v>
      </c>
      <c r="Q30" s="21">
        <f>P30+1</f>
        <v>2019</v>
      </c>
      <c r="R30" s="21">
        <f>Q30+1</f>
        <v>2020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E30" s="88"/>
      <c r="AF30" s="89" t="s">
        <v>124</v>
      </c>
      <c r="AG30" s="89"/>
      <c r="AH30" s="90">
        <f>AH29</f>
        <v>-2539.1527357128116</v>
      </c>
      <c r="AI30" s="90">
        <f>AI29-AH29</f>
        <v>4083.4583762817924</v>
      </c>
      <c r="AJ30" s="90">
        <f>AJ29-AI29</f>
        <v>-860.01017687481772</v>
      </c>
      <c r="AK30" s="3"/>
    </row>
    <row r="31" spans="1:37" x14ac:dyDescent="0.2">
      <c r="A31" s="107" t="s">
        <v>2</v>
      </c>
      <c r="B31" s="44"/>
      <c r="C31" s="73" t="s">
        <v>125</v>
      </c>
      <c r="D31" s="91"/>
      <c r="E31" s="91"/>
      <c r="F31" s="91"/>
      <c r="G31" s="47"/>
      <c r="H31" s="99">
        <v>6156</v>
      </c>
      <c r="I31" s="73" t="s">
        <v>104</v>
      </c>
      <c r="J31" s="160">
        <v>1000</v>
      </c>
      <c r="K31" s="68">
        <f t="shared" si="7"/>
        <v>1030</v>
      </c>
      <c r="L31" s="68">
        <f t="shared" si="8"/>
        <v>1060.9000000000001</v>
      </c>
      <c r="N31" s="20"/>
      <c r="O31" s="34" t="s">
        <v>17</v>
      </c>
      <c r="P31" s="34" t="str">
        <f>P5</f>
        <v>12 mois</v>
      </c>
      <c r="Q31" s="34" t="s">
        <v>15</v>
      </c>
      <c r="R31" s="34" t="s">
        <v>15</v>
      </c>
      <c r="T31" s="108" t="s">
        <v>127</v>
      </c>
      <c r="U31" s="38"/>
      <c r="V31" s="38"/>
      <c r="W31" s="38"/>
      <c r="X31" s="38"/>
      <c r="Y31" s="38"/>
      <c r="Z31" s="38"/>
      <c r="AA31" s="38"/>
      <c r="AB31" s="38"/>
      <c r="AC31" s="38"/>
      <c r="AE31" s="36"/>
      <c r="AF31" s="37"/>
      <c r="AG31" s="37"/>
      <c r="AH31" s="38"/>
      <c r="AI31" s="38"/>
      <c r="AJ31" s="38"/>
      <c r="AK31" s="3"/>
    </row>
    <row r="32" spans="1:37" x14ac:dyDescent="0.2">
      <c r="A32" s="181" t="s">
        <v>230</v>
      </c>
      <c r="B32" s="44"/>
      <c r="C32" s="73" t="s">
        <v>128</v>
      </c>
      <c r="D32" s="91">
        <f>J67+J65</f>
        <v>0</v>
      </c>
      <c r="E32" s="91">
        <f>K67+K65</f>
        <v>0</v>
      </c>
      <c r="F32" s="91">
        <f>L67+L65</f>
        <v>0</v>
      </c>
      <c r="G32" s="47"/>
      <c r="H32" s="75">
        <v>6161</v>
      </c>
      <c r="I32" s="73" t="s">
        <v>109</v>
      </c>
      <c r="J32" s="160">
        <f>885+530</f>
        <v>1415</v>
      </c>
      <c r="K32" s="68">
        <f t="shared" si="7"/>
        <v>1457.45</v>
      </c>
      <c r="L32" s="68">
        <f t="shared" si="8"/>
        <v>1501.1735000000001</v>
      </c>
      <c r="N32" s="39"/>
      <c r="O32" s="40" t="str">
        <f>O6</f>
        <v>début exercice</v>
      </c>
      <c r="P32" s="40"/>
      <c r="Q32" s="40"/>
      <c r="R32" s="40"/>
      <c r="T32" s="43" t="s">
        <v>130</v>
      </c>
      <c r="U32" s="43"/>
      <c r="V32" s="43"/>
      <c r="W32" s="43">
        <f>-AH6</f>
        <v>5000</v>
      </c>
      <c r="X32" s="43"/>
      <c r="Y32" s="43"/>
      <c r="Z32" s="43">
        <f>-AI6</f>
        <v>5000</v>
      </c>
      <c r="AA32" s="43"/>
      <c r="AB32" s="43"/>
      <c r="AC32" s="43">
        <f>-AJ6</f>
        <v>5000</v>
      </c>
      <c r="AE32" s="36"/>
      <c r="AF32" s="37" t="s">
        <v>131</v>
      </c>
      <c r="AG32" s="37"/>
      <c r="AH32" s="38">
        <f t="shared" ref="AH32:AJ33" si="11">AH29+AH17</f>
        <v>-26102.700657609079</v>
      </c>
      <c r="AI32" s="38">
        <f t="shared" si="11"/>
        <v>-34236.865113198925</v>
      </c>
      <c r="AJ32" s="38">
        <f t="shared" si="11"/>
        <v>-47610.70753130161</v>
      </c>
      <c r="AK32" s="3"/>
    </row>
    <row r="33" spans="1:37" x14ac:dyDescent="0.2">
      <c r="A33" s="107"/>
      <c r="B33" s="44"/>
      <c r="C33" s="62" t="s">
        <v>132</v>
      </c>
      <c r="D33" s="82">
        <f>SUM(D19:D32)</f>
        <v>79035.933333333334</v>
      </c>
      <c r="E33" s="82">
        <f>SUM(E19:E32)</f>
        <v>95308.344666666657</v>
      </c>
      <c r="F33" s="82">
        <f>SUM(F19:F32)</f>
        <v>114942.26167333336</v>
      </c>
      <c r="G33" s="64"/>
      <c r="H33" s="75">
        <v>6180</v>
      </c>
      <c r="I33" s="73" t="s">
        <v>114</v>
      </c>
      <c r="J33" s="160"/>
      <c r="K33" s="68">
        <f t="shared" si="7"/>
        <v>0</v>
      </c>
      <c r="L33" s="68">
        <f t="shared" si="8"/>
        <v>0</v>
      </c>
      <c r="N33" s="38"/>
      <c r="O33" s="38"/>
      <c r="P33" s="38"/>
      <c r="Q33" s="38"/>
      <c r="R33" s="38"/>
      <c r="T33" s="53" t="s">
        <v>134</v>
      </c>
      <c r="U33" s="53"/>
      <c r="V33" s="53"/>
      <c r="W33" s="53"/>
      <c r="X33" s="53"/>
      <c r="Y33" s="53"/>
      <c r="Z33" s="53"/>
      <c r="AA33" s="53"/>
      <c r="AB33" s="53"/>
      <c r="AC33" s="53"/>
      <c r="AE33" s="36"/>
      <c r="AF33" s="37" t="s">
        <v>135</v>
      </c>
      <c r="AG33" s="37"/>
      <c r="AH33" s="38">
        <f t="shared" si="11"/>
        <v>-26102.700657609079</v>
      </c>
      <c r="AI33" s="38">
        <f t="shared" si="11"/>
        <v>-8134.164455589842</v>
      </c>
      <c r="AJ33" s="38">
        <f t="shared" si="11"/>
        <v>-13373.842418102689</v>
      </c>
      <c r="AK33" s="3"/>
    </row>
    <row r="34" spans="1:37" x14ac:dyDescent="0.2">
      <c r="A34" s="181" t="s">
        <v>136</v>
      </c>
      <c r="B34" s="44"/>
      <c r="C34" s="73"/>
      <c r="D34" s="91"/>
      <c r="E34" s="91"/>
      <c r="F34" s="91"/>
      <c r="G34" s="47"/>
      <c r="H34" s="75">
        <v>6210</v>
      </c>
      <c r="I34" s="73" t="s">
        <v>117</v>
      </c>
      <c r="J34" s="160"/>
      <c r="K34" s="68">
        <f t="shared" si="7"/>
        <v>0</v>
      </c>
      <c r="L34" s="68">
        <f t="shared" si="8"/>
        <v>0</v>
      </c>
      <c r="N34" s="60" t="s">
        <v>138</v>
      </c>
      <c r="O34" s="60"/>
      <c r="P34" s="60">
        <f>-AH20</f>
        <v>-2739.7260273972602</v>
      </c>
      <c r="Q34" s="60">
        <f>-(AI20-AH20)</f>
        <v>-273.97260273972597</v>
      </c>
      <c r="R34" s="60">
        <f>-(AJ20-AI20)</f>
        <v>-547.9452054794524</v>
      </c>
      <c r="T34" s="53" t="s">
        <v>139</v>
      </c>
      <c r="U34" s="53"/>
      <c r="V34" s="53"/>
      <c r="W34" s="53"/>
      <c r="X34" s="53"/>
      <c r="Y34" s="53"/>
      <c r="Z34" s="53"/>
      <c r="AA34" s="53"/>
      <c r="AB34" s="53"/>
      <c r="AC34" s="53"/>
      <c r="AE34" s="36"/>
      <c r="AF34" s="37"/>
      <c r="AG34" s="37"/>
      <c r="AH34" s="38"/>
      <c r="AI34" s="38"/>
      <c r="AJ34" s="38"/>
      <c r="AK34" s="3"/>
    </row>
    <row r="35" spans="1:37" x14ac:dyDescent="0.2">
      <c r="A35" s="107" t="s">
        <v>140</v>
      </c>
      <c r="B35" s="44"/>
      <c r="C35" s="62" t="s">
        <v>141</v>
      </c>
      <c r="D35" s="82">
        <f>D10-D33</f>
        <v>20964.066666666666</v>
      </c>
      <c r="E35" s="82">
        <f>E10-E33</f>
        <v>14691.655333333343</v>
      </c>
      <c r="F35" s="82">
        <f>F10-F33</f>
        <v>15057.738326666644</v>
      </c>
      <c r="G35" s="64"/>
      <c r="H35" s="75">
        <v>6226</v>
      </c>
      <c r="I35" s="73" t="s">
        <v>119</v>
      </c>
      <c r="J35" s="160"/>
      <c r="K35" s="68">
        <f t="shared" si="7"/>
        <v>0</v>
      </c>
      <c r="L35" s="68">
        <f t="shared" si="8"/>
        <v>0</v>
      </c>
      <c r="N35" s="65" t="s">
        <v>143</v>
      </c>
      <c r="O35" s="65"/>
      <c r="P35" s="65"/>
      <c r="Q35" s="65"/>
      <c r="R35" s="65"/>
      <c r="T35" s="53" t="s">
        <v>144</v>
      </c>
      <c r="U35" s="53"/>
      <c r="V35" s="53"/>
      <c r="W35" s="53">
        <f>-AH9</f>
        <v>0</v>
      </c>
      <c r="X35" s="53"/>
      <c r="Y35" s="53"/>
      <c r="Z35" s="53">
        <f>-AI8-AI9</f>
        <v>17515.849064016435</v>
      </c>
      <c r="AA35" s="53"/>
      <c r="AB35" s="53"/>
      <c r="AC35" s="53">
        <f>-AJ8-AJ9</f>
        <v>29781.609415950199</v>
      </c>
      <c r="AE35" s="36">
        <v>5120</v>
      </c>
      <c r="AF35" s="37" t="s">
        <v>145</v>
      </c>
      <c r="AG35" s="37"/>
      <c r="AH35" s="38">
        <f>-AH32</f>
        <v>26102.700657609079</v>
      </c>
      <c r="AI35" s="38">
        <f>-AI32</f>
        <v>34236.865113198925</v>
      </c>
      <c r="AJ35" s="38">
        <f>-AJ32</f>
        <v>47610.70753130161</v>
      </c>
      <c r="AK35" s="3"/>
    </row>
    <row r="36" spans="1:37" x14ac:dyDescent="0.2">
      <c r="A36" s="109"/>
      <c r="B36" s="44"/>
      <c r="C36" s="73"/>
      <c r="D36" s="68"/>
      <c r="E36" s="68"/>
      <c r="F36" s="68"/>
      <c r="G36" s="47"/>
      <c r="H36" s="75">
        <v>6226</v>
      </c>
      <c r="I36" s="73" t="s">
        <v>123</v>
      </c>
      <c r="J36" s="160">
        <v>1800</v>
      </c>
      <c r="K36" s="68">
        <f t="shared" si="7"/>
        <v>1854</v>
      </c>
      <c r="L36" s="68">
        <f t="shared" si="8"/>
        <v>1909.6200000000001</v>
      </c>
      <c r="N36" s="65" t="s">
        <v>147</v>
      </c>
      <c r="O36" s="65"/>
      <c r="P36" s="65">
        <f>-AH22</f>
        <v>-2301.3698630136987</v>
      </c>
      <c r="Q36" s="65">
        <f>-(AI22-AH22)</f>
        <v>-230.13698630136969</v>
      </c>
      <c r="R36" s="65">
        <f>-(AJ22-AI22)</f>
        <v>-460.27397260273983</v>
      </c>
      <c r="T36" s="78" t="s">
        <v>148</v>
      </c>
      <c r="U36" s="78"/>
      <c r="V36" s="78"/>
      <c r="W36" s="78">
        <f>-AH10</f>
        <v>17515.849064016435</v>
      </c>
      <c r="X36" s="78"/>
      <c r="Y36" s="78"/>
      <c r="Z36" s="78">
        <f>-AI10</f>
        <v>12265.760351933764</v>
      </c>
      <c r="AA36" s="78"/>
      <c r="AB36" s="78"/>
      <c r="AC36" s="78">
        <f>-AJ10</f>
        <v>12661.71066113716</v>
      </c>
      <c r="AE36" s="36">
        <v>5300</v>
      </c>
      <c r="AF36" s="37" t="s">
        <v>149</v>
      </c>
      <c r="AG36" s="37"/>
      <c r="AH36" s="38"/>
      <c r="AI36" s="38"/>
      <c r="AJ36" s="38"/>
      <c r="AK36" s="3"/>
    </row>
    <row r="37" spans="1:37" x14ac:dyDescent="0.2">
      <c r="A37" s="110"/>
      <c r="B37" s="44"/>
      <c r="C37" s="73" t="s">
        <v>150</v>
      </c>
      <c r="D37" s="91"/>
      <c r="E37" s="91"/>
      <c r="F37" s="91"/>
      <c r="G37" s="47"/>
      <c r="H37" s="75">
        <v>6227</v>
      </c>
      <c r="I37" s="73" t="s">
        <v>126</v>
      </c>
      <c r="J37" s="169">
        <v>600</v>
      </c>
      <c r="K37" s="68">
        <f t="shared" si="7"/>
        <v>618</v>
      </c>
      <c r="L37" s="68">
        <f t="shared" si="8"/>
        <v>636.54</v>
      </c>
      <c r="N37" s="65" t="s">
        <v>152</v>
      </c>
      <c r="O37" s="65"/>
      <c r="P37" s="65"/>
      <c r="Q37" s="65"/>
      <c r="R37" s="65"/>
      <c r="T37" s="38" t="s">
        <v>153</v>
      </c>
      <c r="U37" s="38"/>
      <c r="V37" s="38"/>
      <c r="W37" s="38"/>
      <c r="X37" s="38"/>
      <c r="Y37" s="38"/>
      <c r="Z37" s="38"/>
      <c r="AA37" s="38"/>
      <c r="AB37" s="38"/>
      <c r="AC37" s="38"/>
      <c r="AE37" s="36"/>
      <c r="AF37" s="37"/>
      <c r="AG37" s="37"/>
      <c r="AH37" s="38"/>
      <c r="AI37" s="38"/>
      <c r="AJ37" s="38"/>
      <c r="AK37" s="3"/>
    </row>
    <row r="38" spans="1:37" x14ac:dyDescent="0.2">
      <c r="B38" s="44"/>
      <c r="C38" s="73" t="s">
        <v>154</v>
      </c>
      <c r="D38" s="68">
        <f>J68</f>
        <v>357.18541488263077</v>
      </c>
      <c r="E38" s="68">
        <f>K68</f>
        <v>261.34903694067191</v>
      </c>
      <c r="F38" s="68">
        <f>L68</f>
        <v>161.60813709351345</v>
      </c>
      <c r="G38" s="47"/>
      <c r="H38" s="75">
        <v>6230</v>
      </c>
      <c r="I38" s="73" t="s">
        <v>129</v>
      </c>
      <c r="J38" s="169">
        <v>1000</v>
      </c>
      <c r="K38" s="68">
        <f t="shared" si="7"/>
        <v>1030</v>
      </c>
      <c r="L38" s="68">
        <f t="shared" si="8"/>
        <v>1060.9000000000001</v>
      </c>
      <c r="N38" s="65"/>
      <c r="O38" s="65"/>
      <c r="P38" s="65"/>
      <c r="Q38" s="65"/>
      <c r="R38" s="65"/>
      <c r="T38" s="74" t="s">
        <v>51</v>
      </c>
      <c r="U38" s="74"/>
      <c r="V38" s="74"/>
      <c r="W38" s="74">
        <f>SUM(W31:W37)</f>
        <v>22515.849064016435</v>
      </c>
      <c r="X38" s="74">
        <f t="shared" ref="X38:AC38" si="12">SUM(X31:X37)</f>
        <v>0</v>
      </c>
      <c r="Y38" s="74">
        <f t="shared" si="12"/>
        <v>0</v>
      </c>
      <c r="Z38" s="74">
        <f t="shared" si="12"/>
        <v>34781.609415950195</v>
      </c>
      <c r="AA38" s="74">
        <f t="shared" si="12"/>
        <v>0</v>
      </c>
      <c r="AB38" s="74">
        <f t="shared" si="12"/>
        <v>0</v>
      </c>
      <c r="AC38" s="74">
        <f t="shared" si="12"/>
        <v>47443.320077087352</v>
      </c>
      <c r="AE38" s="111"/>
      <c r="AF38" s="112" t="s">
        <v>156</v>
      </c>
      <c r="AG38" s="112"/>
      <c r="AH38" s="113">
        <f>AH32+AH35+AH36</f>
        <v>0</v>
      </c>
      <c r="AI38" s="113">
        <f>AI32+AI35+AI36</f>
        <v>0</v>
      </c>
      <c r="AJ38" s="113">
        <f>AJ32+AJ35+AJ36</f>
        <v>0</v>
      </c>
      <c r="AK38" s="3"/>
    </row>
    <row r="39" spans="1:37" x14ac:dyDescent="0.2">
      <c r="B39" s="44"/>
      <c r="C39" s="73"/>
      <c r="D39" s="68"/>
      <c r="E39" s="68"/>
      <c r="F39" s="68"/>
      <c r="G39" s="47"/>
      <c r="H39" s="75">
        <v>6234</v>
      </c>
      <c r="I39" s="73" t="s">
        <v>133</v>
      </c>
      <c r="J39" s="160"/>
      <c r="K39" s="68">
        <f t="shared" si="7"/>
        <v>0</v>
      </c>
      <c r="L39" s="68">
        <f t="shared" si="8"/>
        <v>0</v>
      </c>
      <c r="N39" s="65" t="s">
        <v>158</v>
      </c>
      <c r="O39" s="65"/>
      <c r="P39" s="65"/>
      <c r="Q39" s="65"/>
      <c r="R39" s="6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E39" s="84"/>
      <c r="AF39" s="105"/>
      <c r="AG39" s="105"/>
      <c r="AH39" s="46"/>
      <c r="AI39" s="46"/>
      <c r="AJ39" s="46"/>
      <c r="AK39" s="3"/>
    </row>
    <row r="40" spans="1:37" x14ac:dyDescent="0.2">
      <c r="B40" s="44"/>
      <c r="C40" s="62" t="s">
        <v>159</v>
      </c>
      <c r="D40" s="82">
        <f>D37-D38</f>
        <v>-357.18541488263077</v>
      </c>
      <c r="E40" s="82">
        <f>E37-E38</f>
        <v>-261.34903694067191</v>
      </c>
      <c r="F40" s="82">
        <f>F37-F38</f>
        <v>-161.60813709351345</v>
      </c>
      <c r="G40" s="64"/>
      <c r="H40" s="75">
        <v>6238</v>
      </c>
      <c r="I40" s="73" t="s">
        <v>137</v>
      </c>
      <c r="J40" s="160"/>
      <c r="K40" s="68">
        <f t="shared" si="7"/>
        <v>0</v>
      </c>
      <c r="L40" s="68">
        <f t="shared" si="8"/>
        <v>0</v>
      </c>
      <c r="N40" s="65" t="s">
        <v>161</v>
      </c>
      <c r="O40" s="65"/>
      <c r="P40" s="65">
        <f>-AH21</f>
        <v>4335.6164383561645</v>
      </c>
      <c r="Q40" s="65">
        <f>-(AI21-AH21)</f>
        <v>433.56164383561554</v>
      </c>
      <c r="R40" s="65">
        <f>-(AJ21-AI21)</f>
        <v>867.12328767123381</v>
      </c>
      <c r="T40" s="74" t="s">
        <v>162</v>
      </c>
      <c r="U40" s="74"/>
      <c r="V40" s="74"/>
      <c r="W40" s="74"/>
      <c r="X40" s="74"/>
      <c r="Y40" s="74"/>
      <c r="Z40" s="74"/>
      <c r="AA40" s="74"/>
      <c r="AB40" s="74"/>
      <c r="AC40" s="74"/>
      <c r="AE40" s="36"/>
      <c r="AF40" s="37" t="s">
        <v>244</v>
      </c>
      <c r="AG40" s="37"/>
      <c r="AH40" s="38">
        <f>J14</f>
        <v>33333.333333333336</v>
      </c>
      <c r="AI40" s="38">
        <f t="shared" ref="AI40:AJ40" si="13">K14</f>
        <v>36666.666666666664</v>
      </c>
      <c r="AJ40" s="38">
        <f t="shared" si="13"/>
        <v>43333.333333333336</v>
      </c>
      <c r="AK40" s="3"/>
    </row>
    <row r="41" spans="1:37" x14ac:dyDescent="0.2">
      <c r="A41" s="29" t="s">
        <v>163</v>
      </c>
      <c r="B41" s="44"/>
      <c r="C41" s="73"/>
      <c r="D41" s="68"/>
      <c r="E41" s="68"/>
      <c r="F41" s="68"/>
      <c r="G41" s="47"/>
      <c r="H41" s="75">
        <v>6240</v>
      </c>
      <c r="I41" s="73" t="s">
        <v>142</v>
      </c>
      <c r="J41" s="160"/>
      <c r="K41" s="68">
        <f t="shared" si="7"/>
        <v>0</v>
      </c>
      <c r="L41" s="68">
        <f t="shared" si="8"/>
        <v>0</v>
      </c>
      <c r="N41" s="65" t="s">
        <v>165</v>
      </c>
      <c r="O41" s="65"/>
      <c r="P41" s="65"/>
      <c r="Q41" s="65"/>
      <c r="R41" s="6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E41" s="36"/>
      <c r="AF41" s="37" t="s">
        <v>246</v>
      </c>
      <c r="AG41" s="37"/>
      <c r="AH41" s="38">
        <f>AH40/365</f>
        <v>91.324200913242009</v>
      </c>
      <c r="AI41" s="38">
        <f t="shared" ref="AI41:AJ41" si="14">AI40/365</f>
        <v>100.4566210045662</v>
      </c>
      <c r="AJ41" s="38">
        <f t="shared" si="14"/>
        <v>118.72146118721462</v>
      </c>
      <c r="AK41" s="3"/>
    </row>
    <row r="42" spans="1:37" x14ac:dyDescent="0.2">
      <c r="A42" s="29" t="s">
        <v>166</v>
      </c>
      <c r="B42" s="44"/>
      <c r="C42" s="62" t="s">
        <v>167</v>
      </c>
      <c r="D42" s="82">
        <f>D40+D35</f>
        <v>20606.881251784034</v>
      </c>
      <c r="E42" s="82">
        <f>E40+E35</f>
        <v>14430.306296392671</v>
      </c>
      <c r="F42" s="82">
        <f>F40+F35</f>
        <v>14896.13018957313</v>
      </c>
      <c r="G42" s="64"/>
      <c r="H42" s="75">
        <v>6251</v>
      </c>
      <c r="I42" s="73" t="s">
        <v>146</v>
      </c>
      <c r="J42" s="160">
        <v>795</v>
      </c>
      <c r="K42" s="68">
        <f t="shared" si="7"/>
        <v>818.85</v>
      </c>
      <c r="L42" s="68">
        <f t="shared" si="8"/>
        <v>843.41550000000007</v>
      </c>
      <c r="N42" s="65" t="s">
        <v>169</v>
      </c>
      <c r="O42" s="65"/>
      <c r="P42" s="65"/>
      <c r="Q42" s="65"/>
      <c r="R42" s="65"/>
      <c r="T42" s="108" t="s">
        <v>170</v>
      </c>
      <c r="U42" s="38"/>
      <c r="V42" s="38"/>
      <c r="W42" s="38"/>
      <c r="X42" s="38"/>
      <c r="Y42" s="38"/>
      <c r="Z42" s="38"/>
      <c r="AA42" s="38"/>
      <c r="AB42" s="38"/>
      <c r="AC42" s="38"/>
      <c r="AE42" s="36"/>
      <c r="AF42" s="166" t="s">
        <v>243</v>
      </c>
      <c r="AG42" s="166"/>
      <c r="AH42" s="167">
        <v>30</v>
      </c>
      <c r="AI42" s="167">
        <v>30</v>
      </c>
      <c r="AJ42" s="167">
        <v>30</v>
      </c>
      <c r="AK42" s="3"/>
    </row>
    <row r="43" spans="1:37" x14ac:dyDescent="0.2">
      <c r="A43" s="29" t="s">
        <v>171</v>
      </c>
      <c r="B43" s="44"/>
      <c r="C43" s="73"/>
      <c r="D43" s="68"/>
      <c r="E43" s="68"/>
      <c r="F43" s="68"/>
      <c r="G43" s="47"/>
      <c r="H43" s="75">
        <v>6254</v>
      </c>
      <c r="I43" s="73" t="s">
        <v>151</v>
      </c>
      <c r="J43" s="160">
        <v>2520</v>
      </c>
      <c r="K43" s="68">
        <f t="shared" si="7"/>
        <v>2595.6</v>
      </c>
      <c r="L43" s="68">
        <f t="shared" si="8"/>
        <v>2673.4679999999998</v>
      </c>
      <c r="N43" s="65" t="s">
        <v>173</v>
      </c>
      <c r="O43" s="65"/>
      <c r="P43" s="65">
        <f>-AH25</f>
        <v>3091.032187767606</v>
      </c>
      <c r="Q43" s="65">
        <f>-(AI25-AH25)</f>
        <v>-4017.5184310763125</v>
      </c>
      <c r="R43" s="65">
        <f>-(AJ25-AI25)</f>
        <v>996.35982728577619</v>
      </c>
      <c r="T43" s="43" t="s">
        <v>174</v>
      </c>
      <c r="U43" s="43"/>
      <c r="V43" s="43"/>
      <c r="W43" s="43">
        <f>-AH12-AH15</f>
        <v>10647.698857879834</v>
      </c>
      <c r="X43" s="43"/>
      <c r="Y43" s="43"/>
      <c r="Z43" s="43">
        <f>-AI12-AI15</f>
        <v>8199.5613378177077</v>
      </c>
      <c r="AA43" s="43"/>
      <c r="AB43" s="43"/>
      <c r="AC43" s="43">
        <f>-AJ12-AJ15</f>
        <v>5651.6829179084225</v>
      </c>
      <c r="AE43" s="36"/>
      <c r="AF43" s="37"/>
      <c r="AG43" s="37"/>
      <c r="AH43" s="38"/>
      <c r="AI43" s="38"/>
      <c r="AJ43" s="38"/>
      <c r="AK43" s="3"/>
    </row>
    <row r="44" spans="1:37" x14ac:dyDescent="0.2">
      <c r="A44" s="29" t="s">
        <v>175</v>
      </c>
      <c r="B44" s="44"/>
      <c r="C44" s="73" t="s">
        <v>176</v>
      </c>
      <c r="D44" s="91"/>
      <c r="E44" s="91"/>
      <c r="F44" s="91"/>
      <c r="G44" s="47"/>
      <c r="H44" s="75">
        <v>6257</v>
      </c>
      <c r="I44" s="73" t="s">
        <v>155</v>
      </c>
      <c r="J44" s="160"/>
      <c r="K44" s="68">
        <f t="shared" si="7"/>
        <v>0</v>
      </c>
      <c r="L44" s="68">
        <f t="shared" si="8"/>
        <v>0</v>
      </c>
      <c r="N44" s="114" t="s">
        <v>178</v>
      </c>
      <c r="O44" s="114">
        <f>-P68*0.2</f>
        <v>-2400</v>
      </c>
      <c r="P44" s="72">
        <f>-AH26</f>
        <v>153.60000000000002</v>
      </c>
      <c r="Q44" s="72">
        <f>-(AI26-AH26)</f>
        <v>4.6080000000000041</v>
      </c>
      <c r="R44" s="72">
        <f>-(AJ26-AI26)</f>
        <v>4.7462400000000002</v>
      </c>
      <c r="T44" s="53" t="s">
        <v>179</v>
      </c>
      <c r="U44" s="53"/>
      <c r="V44" s="53"/>
      <c r="W44" s="53"/>
      <c r="X44" s="53"/>
      <c r="Y44" s="53"/>
      <c r="Z44" s="53"/>
      <c r="AA44" s="53"/>
      <c r="AB44" s="53"/>
      <c r="AC44" s="53"/>
      <c r="AE44" s="36"/>
      <c r="AF44" s="37" t="s">
        <v>245</v>
      </c>
      <c r="AG44" s="37"/>
      <c r="AH44" s="38">
        <f>J16*1.055</f>
        <v>35166.666666666664</v>
      </c>
      <c r="AI44" s="38">
        <f t="shared" ref="AI44:AJ44" si="15">K16*1.055</f>
        <v>38683.333333333328</v>
      </c>
      <c r="AJ44" s="38">
        <f t="shared" si="15"/>
        <v>45716.666666666664</v>
      </c>
      <c r="AK44" s="3"/>
    </row>
    <row r="45" spans="1:37" x14ac:dyDescent="0.2">
      <c r="A45" s="29"/>
      <c r="B45" s="44"/>
      <c r="C45" s="73" t="s">
        <v>181</v>
      </c>
      <c r="D45" s="91">
        <f>J69</f>
        <v>0</v>
      </c>
      <c r="E45" s="91">
        <f>K69</f>
        <v>0</v>
      </c>
      <c r="F45" s="91">
        <f>L69</f>
        <v>0</v>
      </c>
      <c r="G45" s="47"/>
      <c r="H45" s="75">
        <v>6260</v>
      </c>
      <c r="I45" s="73" t="s">
        <v>157</v>
      </c>
      <c r="J45" s="160">
        <v>1200</v>
      </c>
      <c r="K45" s="68">
        <f t="shared" si="7"/>
        <v>1236</v>
      </c>
      <c r="L45" s="68">
        <f t="shared" si="8"/>
        <v>1273.08</v>
      </c>
      <c r="N45" s="38"/>
      <c r="O45" s="38"/>
      <c r="P45" s="38"/>
      <c r="Q45" s="38"/>
      <c r="R45" s="38"/>
      <c r="T45" s="78" t="s">
        <v>183</v>
      </c>
      <c r="U45" s="78"/>
      <c r="V45" s="78"/>
      <c r="W45" s="78">
        <f>-AH21</f>
        <v>4335.6164383561645</v>
      </c>
      <c r="X45" s="78"/>
      <c r="Y45" s="78"/>
      <c r="Z45" s="78">
        <f>-AI21</f>
        <v>4769.17808219178</v>
      </c>
      <c r="AA45" s="78"/>
      <c r="AB45" s="78"/>
      <c r="AC45" s="78">
        <f>-AJ21</f>
        <v>5636.3013698630139</v>
      </c>
      <c r="AE45" s="36"/>
      <c r="AF45" s="37" t="s">
        <v>247</v>
      </c>
      <c r="AG45" s="37"/>
      <c r="AH45" s="38">
        <f>AH44/365</f>
        <v>96.347031963470315</v>
      </c>
      <c r="AI45" s="38">
        <f t="shared" ref="AI45" si="16">AI44/365</f>
        <v>105.98173515981733</v>
      </c>
      <c r="AJ45" s="38">
        <f t="shared" ref="AJ45" si="17">AJ44/365</f>
        <v>125.25114155251141</v>
      </c>
      <c r="AK45" s="3"/>
    </row>
    <row r="46" spans="1:37" x14ac:dyDescent="0.2">
      <c r="B46" s="44"/>
      <c r="C46" s="73"/>
      <c r="D46" s="91"/>
      <c r="E46" s="91"/>
      <c r="F46" s="91"/>
      <c r="G46" s="47"/>
      <c r="H46" s="75">
        <v>6260</v>
      </c>
      <c r="I46" s="73" t="s">
        <v>160</v>
      </c>
      <c r="J46" s="160">
        <v>500</v>
      </c>
      <c r="K46" s="68">
        <f t="shared" si="7"/>
        <v>515</v>
      </c>
      <c r="L46" s="68">
        <f t="shared" si="8"/>
        <v>530.45000000000005</v>
      </c>
      <c r="N46" s="97"/>
      <c r="O46" s="97"/>
      <c r="P46" s="97"/>
      <c r="Q46" s="97"/>
      <c r="R46" s="97"/>
      <c r="T46" s="38" t="s">
        <v>186</v>
      </c>
      <c r="U46" s="38"/>
      <c r="V46" s="38"/>
      <c r="W46" s="38">
        <f>-AH26-AH25-AH24-AH23</f>
        <v>3244.632187767606</v>
      </c>
      <c r="X46" s="38"/>
      <c r="Y46" s="38"/>
      <c r="Z46" s="38">
        <f>-AI26-AI25-AI24-AI23</f>
        <v>-768.27824330870635</v>
      </c>
      <c r="AA46" s="38"/>
      <c r="AB46" s="38"/>
      <c r="AC46" s="38">
        <f>-AJ26-AJ25-AJ23-AJ24</f>
        <v>232.82782397706978</v>
      </c>
      <c r="AE46" s="36"/>
      <c r="AF46" s="166" t="s">
        <v>248</v>
      </c>
      <c r="AG46" s="166"/>
      <c r="AH46" s="167">
        <v>45</v>
      </c>
      <c r="AI46" s="167">
        <v>45</v>
      </c>
      <c r="AJ46" s="167">
        <v>45</v>
      </c>
    </row>
    <row r="47" spans="1:37" x14ac:dyDescent="0.2">
      <c r="B47" s="44"/>
      <c r="C47" s="62" t="s">
        <v>187</v>
      </c>
      <c r="D47" s="82">
        <f>D44-D45</f>
        <v>0</v>
      </c>
      <c r="E47" s="82">
        <f>E44-E45</f>
        <v>0</v>
      </c>
      <c r="F47" s="82">
        <f>F44-F45</f>
        <v>0</v>
      </c>
      <c r="G47" s="64"/>
      <c r="H47" s="75">
        <v>6278</v>
      </c>
      <c r="I47" s="73" t="s">
        <v>164</v>
      </c>
      <c r="J47" s="160">
        <v>800</v>
      </c>
      <c r="K47" s="68">
        <f t="shared" si="7"/>
        <v>824</v>
      </c>
      <c r="L47" s="68">
        <f t="shared" si="8"/>
        <v>848.72</v>
      </c>
      <c r="N47" s="100" t="s">
        <v>189</v>
      </c>
      <c r="O47" s="100">
        <f>SUM(O34:O44)</f>
        <v>-2400</v>
      </c>
      <c r="P47" s="100">
        <f>SUM(P34:P44)</f>
        <v>2539.1527357128111</v>
      </c>
      <c r="Q47" s="100">
        <f>SUM(Q34:Q44)</f>
        <v>-4083.4583762817924</v>
      </c>
      <c r="R47" s="100">
        <f>SUM(R34:R44)</f>
        <v>860.01017687481772</v>
      </c>
      <c r="T47" s="74" t="s">
        <v>190</v>
      </c>
      <c r="U47" s="74"/>
      <c r="V47" s="74"/>
      <c r="W47" s="74">
        <f>SUM(W42:W46)</f>
        <v>18227.947484003605</v>
      </c>
      <c r="X47" s="74">
        <f t="shared" ref="X47:AC47" si="18">SUM(X42:X46)</f>
        <v>0</v>
      </c>
      <c r="Y47" s="74">
        <f t="shared" si="18"/>
        <v>0</v>
      </c>
      <c r="Z47" s="74">
        <f t="shared" si="18"/>
        <v>12200.461176700781</v>
      </c>
      <c r="AA47" s="74">
        <f t="shared" si="18"/>
        <v>0</v>
      </c>
      <c r="AB47" s="74">
        <f t="shared" si="18"/>
        <v>0</v>
      </c>
      <c r="AC47" s="74">
        <f t="shared" si="18"/>
        <v>11520.812111748506</v>
      </c>
      <c r="AE47" s="36"/>
      <c r="AF47" s="37"/>
      <c r="AG47" s="37"/>
      <c r="AH47" s="38"/>
      <c r="AI47" s="38"/>
      <c r="AJ47" s="38"/>
    </row>
    <row r="48" spans="1:37" x14ac:dyDescent="0.2">
      <c r="B48" s="44"/>
      <c r="C48" s="73"/>
      <c r="D48" s="91"/>
      <c r="E48" s="91"/>
      <c r="F48" s="91"/>
      <c r="G48" s="47"/>
      <c r="H48" s="75">
        <v>6279</v>
      </c>
      <c r="I48" s="73" t="s">
        <v>168</v>
      </c>
      <c r="J48" s="160"/>
      <c r="K48" s="68">
        <f t="shared" si="7"/>
        <v>0</v>
      </c>
      <c r="L48" s="68">
        <f t="shared" si="8"/>
        <v>0</v>
      </c>
      <c r="N48" s="101"/>
      <c r="O48" s="101"/>
      <c r="P48" s="101"/>
      <c r="Q48" s="101"/>
      <c r="R48" s="101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E48" s="36"/>
      <c r="AF48" s="37" t="s">
        <v>180</v>
      </c>
      <c r="AG48" s="37"/>
      <c r="AH48" s="38">
        <f>+J9*1.2</f>
        <v>120000</v>
      </c>
      <c r="AI48" s="38">
        <f>+K9*1.2</f>
        <v>132000</v>
      </c>
      <c r="AJ48" s="38">
        <f>+L9*1.2</f>
        <v>156000</v>
      </c>
    </row>
    <row r="49" spans="1:37" x14ac:dyDescent="0.2">
      <c r="B49" s="44"/>
      <c r="C49" s="73" t="s">
        <v>192</v>
      </c>
      <c r="D49" s="68"/>
      <c r="E49" s="68"/>
      <c r="F49" s="68"/>
      <c r="G49" s="47"/>
      <c r="H49" s="75">
        <v>6281</v>
      </c>
      <c r="I49" s="73" t="s">
        <v>172</v>
      </c>
      <c r="J49" s="160"/>
      <c r="K49" s="68">
        <f t="shared" si="7"/>
        <v>0</v>
      </c>
      <c r="L49" s="68">
        <f t="shared" si="8"/>
        <v>0</v>
      </c>
      <c r="N49" s="38"/>
      <c r="O49" s="38"/>
      <c r="P49" s="38"/>
      <c r="Q49" s="38"/>
      <c r="R49" s="38"/>
      <c r="T49" s="74" t="s">
        <v>194</v>
      </c>
      <c r="U49" s="74"/>
      <c r="V49" s="74"/>
      <c r="W49" s="74"/>
      <c r="X49" s="74"/>
      <c r="Y49" s="74"/>
      <c r="Z49" s="74"/>
      <c r="AA49" s="74"/>
      <c r="AB49" s="74"/>
      <c r="AC49" s="74"/>
      <c r="AE49" s="36"/>
      <c r="AF49" s="37" t="s">
        <v>184</v>
      </c>
      <c r="AG49" s="37"/>
      <c r="AH49" s="38">
        <f>+AH48/365</f>
        <v>328.76712328767121</v>
      </c>
      <c r="AI49" s="38">
        <f t="shared" ref="AI49:AJ49" si="19">+AI48/365</f>
        <v>361.64383561643837</v>
      </c>
      <c r="AJ49" s="38">
        <f t="shared" si="19"/>
        <v>427.39726027397262</v>
      </c>
    </row>
    <row r="50" spans="1:37" x14ac:dyDescent="0.2">
      <c r="B50" s="44"/>
      <c r="C50" s="73" t="s">
        <v>195</v>
      </c>
      <c r="D50" s="91">
        <f>-(J77+J79)</f>
        <v>3091.032187767606</v>
      </c>
      <c r="E50" s="91">
        <f>-(K77+K79)</f>
        <v>2164.5459444588996</v>
      </c>
      <c r="F50" s="91">
        <f>-(L77+L79)</f>
        <v>2234.4195284359694</v>
      </c>
      <c r="G50" s="47"/>
      <c r="H50" s="75">
        <v>6311</v>
      </c>
      <c r="I50" s="73" t="s">
        <v>177</v>
      </c>
      <c r="J50" s="160"/>
      <c r="K50" s="68">
        <f t="shared" si="7"/>
        <v>0</v>
      </c>
      <c r="L50" s="68">
        <f t="shared" si="8"/>
        <v>0</v>
      </c>
      <c r="N50" s="38"/>
      <c r="O50" s="38"/>
      <c r="P50" s="38"/>
      <c r="Q50" s="38"/>
      <c r="R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E50" s="36"/>
      <c r="AF50" s="166" t="s">
        <v>250</v>
      </c>
      <c r="AG50" s="166"/>
      <c r="AH50" s="167">
        <v>7</v>
      </c>
      <c r="AI50" s="167">
        <v>7</v>
      </c>
      <c r="AJ50" s="167">
        <v>7</v>
      </c>
    </row>
    <row r="51" spans="1:37" x14ac:dyDescent="0.2">
      <c r="B51" s="44"/>
      <c r="C51" s="73"/>
      <c r="D51" s="68"/>
      <c r="E51" s="68"/>
      <c r="F51" s="68"/>
      <c r="G51" s="47"/>
      <c r="H51" s="75">
        <v>6310</v>
      </c>
      <c r="I51" s="73" t="s">
        <v>182</v>
      </c>
      <c r="J51" s="160">
        <f>J61*0.68/100</f>
        <v>81.600000000000009</v>
      </c>
      <c r="K51" s="68">
        <f t="shared" si="7"/>
        <v>84.048000000000016</v>
      </c>
      <c r="L51" s="68">
        <f t="shared" si="8"/>
        <v>86.569440000000014</v>
      </c>
      <c r="N51" s="71" t="s">
        <v>198</v>
      </c>
      <c r="O51" s="71">
        <f>O47+O25</f>
        <v>2000</v>
      </c>
      <c r="P51" s="71">
        <f>P47+P25</f>
        <v>26102.700657609083</v>
      </c>
      <c r="Q51" s="71">
        <f>Q47+Q25</f>
        <v>8134.1644555898456</v>
      </c>
      <c r="R51" s="71">
        <f>R47+R25</f>
        <v>13373.842418102693</v>
      </c>
      <c r="T51" s="102" t="s">
        <v>199</v>
      </c>
      <c r="U51" s="103"/>
      <c r="V51" s="103"/>
      <c r="W51" s="103">
        <f>+W49+W47+W40+W38</f>
        <v>40743.796548020036</v>
      </c>
      <c r="X51" s="103">
        <f t="shared" ref="X51:AC51" si="20">+X49+X47+X40+X38</f>
        <v>0</v>
      </c>
      <c r="Y51" s="103">
        <f t="shared" si="20"/>
        <v>0</v>
      </c>
      <c r="Z51" s="103">
        <f t="shared" si="20"/>
        <v>46982.070592650976</v>
      </c>
      <c r="AA51" s="103">
        <f t="shared" si="20"/>
        <v>0</v>
      </c>
      <c r="AB51" s="103">
        <f t="shared" si="20"/>
        <v>0</v>
      </c>
      <c r="AC51" s="103">
        <f t="shared" si="20"/>
        <v>58964.132188835858</v>
      </c>
      <c r="AE51" s="36"/>
      <c r="AF51" s="37"/>
      <c r="AG51" s="37"/>
      <c r="AH51" s="37"/>
      <c r="AI51" s="37"/>
      <c r="AJ51" s="37"/>
    </row>
    <row r="52" spans="1:37" x14ac:dyDescent="0.2">
      <c r="B52" s="44"/>
      <c r="C52" s="62" t="s">
        <v>200</v>
      </c>
      <c r="D52" s="82">
        <f>D17+D37+D44</f>
        <v>100000</v>
      </c>
      <c r="E52" s="82">
        <f>E17+E37+E44</f>
        <v>110000</v>
      </c>
      <c r="F52" s="82">
        <f>F17+F37+F44</f>
        <v>130000</v>
      </c>
      <c r="G52" s="64"/>
      <c r="H52" s="75">
        <v>6333</v>
      </c>
      <c r="I52" s="73" t="s">
        <v>185</v>
      </c>
      <c r="J52" s="160">
        <f>J61*0.6/100</f>
        <v>72</v>
      </c>
      <c r="K52" s="68">
        <f t="shared" si="7"/>
        <v>74.16</v>
      </c>
      <c r="L52" s="68">
        <f t="shared" si="8"/>
        <v>76.384799999999998</v>
      </c>
      <c r="N52" s="38"/>
      <c r="O52" s="38"/>
      <c r="P52" s="38"/>
      <c r="Q52" s="38"/>
      <c r="R52" s="38"/>
      <c r="T52" s="98"/>
      <c r="U52" s="98"/>
      <c r="V52" s="98"/>
      <c r="W52" s="98">
        <f>W51-W27</f>
        <v>0</v>
      </c>
      <c r="X52" s="98"/>
      <c r="Y52" s="98"/>
      <c r="Z52" s="98">
        <f>Z51-Z27</f>
        <v>0</v>
      </c>
      <c r="AA52" s="98"/>
      <c r="AB52" s="98"/>
      <c r="AC52" s="98">
        <f>AC51-AC27</f>
        <v>0</v>
      </c>
      <c r="AE52" s="88"/>
      <c r="AF52" s="115"/>
      <c r="AG52" s="115"/>
      <c r="AH52" s="115"/>
      <c r="AI52" s="115"/>
      <c r="AJ52" s="115"/>
    </row>
    <row r="53" spans="1:37" x14ac:dyDescent="0.2">
      <c r="B53" s="44"/>
      <c r="C53" s="62" t="s">
        <v>202</v>
      </c>
      <c r="D53" s="82">
        <f>D33+D38+D45+D49+D50</f>
        <v>82484.150935983562</v>
      </c>
      <c r="E53" s="82">
        <f>E33+E38+E45+E49+E50</f>
        <v>97734.239648066228</v>
      </c>
      <c r="F53" s="82">
        <f>F33+F38+F45+F49+F50</f>
        <v>117338.28933886284</v>
      </c>
      <c r="G53" s="64"/>
      <c r="H53" s="75">
        <v>6351</v>
      </c>
      <c r="I53" s="73" t="s">
        <v>188</v>
      </c>
      <c r="J53" s="160"/>
      <c r="K53" s="68">
        <f t="shared" si="7"/>
        <v>0</v>
      </c>
      <c r="L53" s="68">
        <f t="shared" si="8"/>
        <v>0</v>
      </c>
      <c r="N53" s="116" t="s">
        <v>204</v>
      </c>
      <c r="O53" s="116"/>
      <c r="P53" s="116"/>
      <c r="Q53" s="116"/>
      <c r="R53" s="116"/>
    </row>
    <row r="54" spans="1:37" x14ac:dyDescent="0.2">
      <c r="B54" s="44"/>
      <c r="C54" s="79"/>
      <c r="D54" s="80"/>
      <c r="E54" s="80"/>
      <c r="F54" s="80"/>
      <c r="G54" s="47"/>
      <c r="H54" s="75">
        <v>6351</v>
      </c>
      <c r="I54" s="73" t="s">
        <v>191</v>
      </c>
      <c r="J54" s="160"/>
      <c r="K54" s="68">
        <f t="shared" si="7"/>
        <v>0</v>
      </c>
      <c r="L54" s="68">
        <f t="shared" si="8"/>
        <v>0</v>
      </c>
      <c r="N54" s="71" t="s">
        <v>206</v>
      </c>
      <c r="O54" s="71"/>
      <c r="P54" s="71">
        <v>0</v>
      </c>
      <c r="Q54" s="71">
        <f>P55</f>
        <v>26102.700657609083</v>
      </c>
      <c r="R54" s="71">
        <f>Q55</f>
        <v>34236.865113198932</v>
      </c>
    </row>
    <row r="55" spans="1:37" x14ac:dyDescent="0.2">
      <c r="B55" s="44"/>
      <c r="C55" s="117"/>
      <c r="D55" s="118"/>
      <c r="E55" s="118"/>
      <c r="F55" s="118"/>
      <c r="G55" s="64"/>
      <c r="H55" s="75">
        <v>63513</v>
      </c>
      <c r="I55" s="73" t="s">
        <v>193</v>
      </c>
      <c r="J55" s="160"/>
      <c r="K55" s="68">
        <f t="shared" si="7"/>
        <v>0</v>
      </c>
      <c r="L55" s="68">
        <f t="shared" si="8"/>
        <v>0</v>
      </c>
      <c r="N55" s="119" t="s">
        <v>207</v>
      </c>
      <c r="O55" s="119">
        <f>O51</f>
        <v>2000</v>
      </c>
      <c r="P55" s="101">
        <f>P54+P51</f>
        <v>26102.700657609083</v>
      </c>
      <c r="Q55" s="119">
        <f>Q54+Q51</f>
        <v>34236.865113198932</v>
      </c>
      <c r="R55" s="119">
        <f>R54+R51</f>
        <v>47610.707531301625</v>
      </c>
    </row>
    <row r="56" spans="1:37" x14ac:dyDescent="0.2">
      <c r="B56" s="44"/>
      <c r="C56" s="120" t="s">
        <v>208</v>
      </c>
      <c r="D56" s="121">
        <f>D52-D53</f>
        <v>17515.849064016438</v>
      </c>
      <c r="E56" s="121">
        <f>E52-E53</f>
        <v>12265.760351933772</v>
      </c>
      <c r="F56" s="121">
        <f>F52-F53</f>
        <v>12661.710661137156</v>
      </c>
      <c r="G56" s="64"/>
      <c r="H56" s="75">
        <v>6351</v>
      </c>
      <c r="I56" s="73" t="s">
        <v>196</v>
      </c>
      <c r="J56" s="160"/>
      <c r="K56" s="68">
        <f t="shared" si="7"/>
        <v>0</v>
      </c>
      <c r="L56" s="68">
        <f t="shared" si="8"/>
        <v>0</v>
      </c>
      <c r="N56" s="122"/>
      <c r="O56" s="122"/>
      <c r="P56" s="122"/>
      <c r="Q56" s="122"/>
      <c r="R56" s="122"/>
    </row>
    <row r="57" spans="1:37" x14ac:dyDescent="0.2">
      <c r="B57" s="44"/>
      <c r="C57" s="123" t="s">
        <v>210</v>
      </c>
      <c r="D57" s="124">
        <f>D56/D10</f>
        <v>0.17515849064016439</v>
      </c>
      <c r="E57" s="124">
        <f>E56/E10</f>
        <v>0.11150691229030701</v>
      </c>
      <c r="F57" s="124">
        <f>F56/F10</f>
        <v>9.7397774316439659E-2</v>
      </c>
      <c r="G57" s="125"/>
      <c r="H57" s="75">
        <v>6354</v>
      </c>
      <c r="I57" s="73" t="s">
        <v>197</v>
      </c>
      <c r="J57" s="169"/>
      <c r="K57" s="68">
        <f t="shared" si="7"/>
        <v>0</v>
      </c>
      <c r="L57" s="68">
        <f t="shared" si="8"/>
        <v>0</v>
      </c>
      <c r="N57" s="126" t="s">
        <v>211</v>
      </c>
      <c r="O57" s="126"/>
      <c r="P57" s="126">
        <f>P55-AH35</f>
        <v>0</v>
      </c>
      <c r="Q57" s="126">
        <f>Q55-AI35</f>
        <v>0</v>
      </c>
      <c r="R57" s="126">
        <f>R55-AJ35</f>
        <v>0</v>
      </c>
    </row>
    <row r="58" spans="1:37" x14ac:dyDescent="0.2">
      <c r="B58" s="44"/>
      <c r="C58" s="127"/>
      <c r="D58" s="127">
        <f>D56-J81</f>
        <v>0</v>
      </c>
      <c r="E58" s="127">
        <f>E56-K81</f>
        <v>0</v>
      </c>
      <c r="F58" s="127">
        <f>F56-L81</f>
        <v>0</v>
      </c>
      <c r="G58" s="127"/>
      <c r="H58" s="75">
        <v>6371</v>
      </c>
      <c r="I58" s="73" t="s">
        <v>201</v>
      </c>
      <c r="J58" s="160"/>
      <c r="K58" s="68">
        <f t="shared" si="7"/>
        <v>0</v>
      </c>
      <c r="L58" s="68">
        <f t="shared" si="8"/>
        <v>0</v>
      </c>
      <c r="P58"/>
      <c r="Q58"/>
      <c r="R58"/>
      <c r="AH58" s="3"/>
      <c r="AI58" s="3"/>
      <c r="AJ58" s="3"/>
    </row>
    <row r="59" spans="1:37" x14ac:dyDescent="0.2">
      <c r="B59" s="128"/>
      <c r="C59" s="127"/>
      <c r="D59" s="127"/>
      <c r="E59" s="127"/>
      <c r="F59" s="127"/>
      <c r="G59" s="127"/>
      <c r="H59" s="75">
        <v>6378</v>
      </c>
      <c r="I59" s="73" t="s">
        <v>203</v>
      </c>
      <c r="J59" s="160"/>
      <c r="K59" s="68">
        <f t="shared" si="7"/>
        <v>0</v>
      </c>
      <c r="L59" s="68">
        <f t="shared" si="8"/>
        <v>0</v>
      </c>
      <c r="N59" s="129" t="s">
        <v>269</v>
      </c>
      <c r="O59" s="129" t="s">
        <v>251</v>
      </c>
      <c r="P59" s="105">
        <v>2018</v>
      </c>
      <c r="Q59" s="105">
        <v>2018</v>
      </c>
      <c r="R59"/>
      <c r="AH59" s="3"/>
      <c r="AI59" s="3"/>
      <c r="AJ59" s="3"/>
    </row>
    <row r="60" spans="1:37" x14ac:dyDescent="0.2">
      <c r="B60" s="128"/>
      <c r="C60" s="130"/>
      <c r="D60" s="127"/>
      <c r="E60" s="127"/>
      <c r="F60" s="127"/>
      <c r="G60" s="127"/>
      <c r="H60" s="75">
        <v>6410</v>
      </c>
      <c r="I60" s="73" t="s">
        <v>205</v>
      </c>
      <c r="J60" s="160"/>
      <c r="K60" s="68">
        <f t="shared" si="7"/>
        <v>0</v>
      </c>
      <c r="L60" s="68">
        <f t="shared" si="8"/>
        <v>0</v>
      </c>
      <c r="N60" s="98"/>
      <c r="O60" s="98" t="s">
        <v>252</v>
      </c>
      <c r="P60" s="115" t="s">
        <v>270</v>
      </c>
      <c r="Q60" s="115" t="s">
        <v>215</v>
      </c>
      <c r="R60"/>
      <c r="AH60" s="3"/>
      <c r="AI60" s="3"/>
      <c r="AJ60" s="3"/>
    </row>
    <row r="61" spans="1:37" x14ac:dyDescent="0.2">
      <c r="B61" s="128"/>
      <c r="C61" s="127"/>
      <c r="D61" s="132"/>
      <c r="E61" s="132"/>
      <c r="F61" s="132"/>
      <c r="G61" s="127"/>
      <c r="H61" s="75">
        <v>6411</v>
      </c>
      <c r="I61" s="159" t="s">
        <v>238</v>
      </c>
      <c r="J61" s="160">
        <v>12000</v>
      </c>
      <c r="K61" s="160">
        <v>24000</v>
      </c>
      <c r="L61" s="160">
        <v>36000</v>
      </c>
      <c r="N61" s="38"/>
      <c r="O61" s="38"/>
      <c r="P61" s="38"/>
      <c r="Q61" s="38"/>
      <c r="R61"/>
      <c r="AH61" s="3"/>
      <c r="AI61" s="3"/>
      <c r="AJ61" s="3"/>
    </row>
    <row r="62" spans="1:37" x14ac:dyDescent="0.2">
      <c r="B62" s="128"/>
      <c r="C62" s="132"/>
      <c r="D62" s="133"/>
      <c r="E62" s="133"/>
      <c r="F62" s="133"/>
      <c r="G62" s="47"/>
      <c r="H62" s="75">
        <v>6450</v>
      </c>
      <c r="I62" s="73" t="s">
        <v>209</v>
      </c>
      <c r="J62" s="160"/>
      <c r="K62" s="68">
        <f t="shared" si="7"/>
        <v>0</v>
      </c>
      <c r="L62" s="68">
        <f t="shared" si="8"/>
        <v>0</v>
      </c>
      <c r="N62" s="57" t="s">
        <v>271</v>
      </c>
      <c r="O62" s="156">
        <v>5</v>
      </c>
      <c r="P62" s="156">
        <v>10000</v>
      </c>
      <c r="Q62" s="57">
        <f>P62/O62</f>
        <v>2000</v>
      </c>
      <c r="R62"/>
      <c r="T62"/>
      <c r="AH62" s="3"/>
      <c r="AI62" s="3"/>
      <c r="AJ62" s="3"/>
    </row>
    <row r="63" spans="1:37" x14ac:dyDescent="0.2">
      <c r="B63" s="128"/>
      <c r="C63" s="127"/>
      <c r="D63" s="47"/>
      <c r="E63" s="47"/>
      <c r="F63" s="47"/>
      <c r="G63" s="47"/>
      <c r="H63" s="75">
        <v>6460</v>
      </c>
      <c r="I63" s="159" t="s">
        <v>239</v>
      </c>
      <c r="J63" s="160">
        <f>+J61*0.4</f>
        <v>4800</v>
      </c>
      <c r="K63" s="68">
        <f t="shared" si="7"/>
        <v>4944</v>
      </c>
      <c r="L63" s="68">
        <f t="shared" si="8"/>
        <v>5092.32</v>
      </c>
      <c r="N63" s="57" t="s">
        <v>219</v>
      </c>
      <c r="O63" s="156">
        <v>5</v>
      </c>
      <c r="P63" s="156">
        <v>2000</v>
      </c>
      <c r="Q63" s="57">
        <f>P63/O63</f>
        <v>400</v>
      </c>
      <c r="R63"/>
      <c r="T63"/>
      <c r="U63"/>
      <c r="V63"/>
      <c r="W63"/>
      <c r="X63"/>
      <c r="Y63"/>
      <c r="Z63"/>
      <c r="AA63"/>
      <c r="AB63"/>
      <c r="AC63"/>
      <c r="AH63" s="3"/>
      <c r="AI63" s="3"/>
      <c r="AJ63" s="3"/>
    </row>
    <row r="64" spans="1:37" x14ac:dyDescent="0.2">
      <c r="A64" s="134"/>
      <c r="B64" s="44"/>
      <c r="C64" s="127"/>
      <c r="D64" s="47"/>
      <c r="E64" s="47"/>
      <c r="F64" s="47"/>
      <c r="G64" s="47"/>
      <c r="H64" s="75">
        <v>6475</v>
      </c>
      <c r="I64" s="73" t="s">
        <v>212</v>
      </c>
      <c r="J64" s="160"/>
      <c r="K64" s="68">
        <f t="shared" si="7"/>
        <v>0</v>
      </c>
      <c r="L64" s="68">
        <f t="shared" si="8"/>
        <v>0</v>
      </c>
      <c r="N64" s="57"/>
      <c r="O64" s="57"/>
      <c r="P64" s="57"/>
      <c r="Q64" s="57"/>
      <c r="R64"/>
      <c r="S64"/>
      <c r="T64"/>
      <c r="U64"/>
      <c r="V64"/>
      <c r="W64"/>
      <c r="X64"/>
      <c r="Y64"/>
      <c r="Z64"/>
      <c r="AA64"/>
      <c r="AB64"/>
      <c r="AC64"/>
      <c r="AD64"/>
      <c r="AH64" s="3"/>
      <c r="AI64" s="3"/>
      <c r="AJ64" s="3"/>
      <c r="AK64" s="3"/>
    </row>
    <row r="65" spans="1:37" x14ac:dyDescent="0.2">
      <c r="A65" s="134"/>
      <c r="B65" s="44"/>
      <c r="C65" s="135"/>
      <c r="D65" s="47"/>
      <c r="E65" s="47"/>
      <c r="F65" s="47"/>
      <c r="G65" s="47"/>
      <c r="H65" s="75">
        <v>6510</v>
      </c>
      <c r="I65" s="73" t="s">
        <v>213</v>
      </c>
      <c r="J65" s="160"/>
      <c r="K65" s="68">
        <f t="shared" si="7"/>
        <v>0</v>
      </c>
      <c r="L65" s="68">
        <f t="shared" si="8"/>
        <v>0</v>
      </c>
      <c r="N65" s="38"/>
      <c r="O65" s="38"/>
      <c r="P65" s="38"/>
      <c r="Q65" s="38">
        <f>P65/10</f>
        <v>0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H65" s="3"/>
      <c r="AI65" s="3"/>
      <c r="AJ65" s="3"/>
      <c r="AK65" s="3"/>
    </row>
    <row r="66" spans="1:37" x14ac:dyDescent="0.2">
      <c r="B66" s="44"/>
      <c r="C66" s="135"/>
      <c r="D66" s="47"/>
      <c r="E66" s="47"/>
      <c r="F66" s="47"/>
      <c r="G66" s="47"/>
      <c r="H66" s="75">
        <v>6541</v>
      </c>
      <c r="I66" s="131" t="s">
        <v>214</v>
      </c>
      <c r="J66" s="160"/>
      <c r="K66" s="68">
        <f t="shared" si="7"/>
        <v>0</v>
      </c>
      <c r="L66" s="68">
        <f t="shared" si="8"/>
        <v>0</v>
      </c>
      <c r="N66" s="38"/>
      <c r="O66" s="38"/>
      <c r="P66" s="38"/>
      <c r="Q66" s="38">
        <f>P66/4</f>
        <v>0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H66" s="3"/>
      <c r="AI66" s="3"/>
      <c r="AJ66" s="3"/>
      <c r="AK66" s="3"/>
    </row>
    <row r="67" spans="1:37" x14ac:dyDescent="0.2">
      <c r="B67" s="44"/>
      <c r="C67" s="135"/>
      <c r="D67" s="135"/>
      <c r="E67" s="135"/>
      <c r="F67" s="135"/>
      <c r="G67" s="135"/>
      <c r="H67" s="75">
        <v>6580</v>
      </c>
      <c r="I67" s="131" t="s">
        <v>216</v>
      </c>
      <c r="J67" s="160"/>
      <c r="K67" s="68">
        <f t="shared" si="7"/>
        <v>0</v>
      </c>
      <c r="L67" s="68">
        <f t="shared" si="8"/>
        <v>0</v>
      </c>
      <c r="N67" s="38"/>
      <c r="O67" s="38"/>
      <c r="P67" s="38"/>
      <c r="Q67" s="38"/>
      <c r="R67"/>
      <c r="S67"/>
      <c r="T67"/>
      <c r="U67"/>
      <c r="V67"/>
      <c r="W67"/>
      <c r="X67"/>
      <c r="Y67"/>
      <c r="Z67"/>
      <c r="AA67"/>
      <c r="AB67"/>
      <c r="AC67"/>
      <c r="AD67"/>
      <c r="AH67" s="3"/>
      <c r="AI67" s="3"/>
      <c r="AJ67" s="3"/>
      <c r="AK67" s="3"/>
    </row>
    <row r="68" spans="1:37" x14ac:dyDescent="0.2">
      <c r="B68" s="44"/>
      <c r="C68" s="135"/>
      <c r="D68" s="47"/>
      <c r="E68" s="47"/>
      <c r="F68" s="47"/>
      <c r="G68" s="47"/>
      <c r="H68" s="75">
        <v>6600</v>
      </c>
      <c r="I68" s="131" t="s">
        <v>217</v>
      </c>
      <c r="J68" s="160">
        <f>+'tab emprunt'!G18</f>
        <v>357.18541488263077</v>
      </c>
      <c r="K68" s="160">
        <f>+'tab emprunt'!G30</f>
        <v>261.34903694067191</v>
      </c>
      <c r="L68" s="160">
        <f>+'tab emprunt'!G42</f>
        <v>161.60813709351345</v>
      </c>
      <c r="N68" s="82" t="s">
        <v>224</v>
      </c>
      <c r="O68" s="82"/>
      <c r="P68" s="82">
        <f>SUM(P61:P67)</f>
        <v>12000</v>
      </c>
      <c r="Q68" s="82">
        <f>SUM(Q61:Q67)</f>
        <v>2400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H68" s="3"/>
      <c r="AI68" s="3"/>
      <c r="AJ68" s="3"/>
      <c r="AK68" s="3"/>
    </row>
    <row r="69" spans="1:37" x14ac:dyDescent="0.2">
      <c r="B69" s="44"/>
      <c r="C69" s="135"/>
      <c r="D69" s="47"/>
      <c r="E69" s="47"/>
      <c r="F69" s="47"/>
      <c r="G69" s="47"/>
      <c r="H69" s="75">
        <v>6700</v>
      </c>
      <c r="I69" s="131" t="s">
        <v>218</v>
      </c>
      <c r="J69" s="160"/>
      <c r="K69" s="68">
        <f t="shared" si="7"/>
        <v>0</v>
      </c>
      <c r="L69" s="68">
        <f t="shared" si="8"/>
        <v>0</v>
      </c>
      <c r="N69" s="46"/>
      <c r="O69" s="46"/>
      <c r="P69" s="105"/>
      <c r="Q69" s="105"/>
      <c r="R69"/>
      <c r="S69"/>
      <c r="T69"/>
      <c r="U69"/>
      <c r="V69"/>
      <c r="W69"/>
      <c r="X69"/>
      <c r="Y69"/>
      <c r="Z69"/>
      <c r="AA69"/>
      <c r="AB69"/>
      <c r="AC69"/>
      <c r="AD69"/>
      <c r="AH69" s="3"/>
      <c r="AI69" s="3"/>
      <c r="AJ69" s="3"/>
      <c r="AK69" s="3"/>
    </row>
    <row r="70" spans="1:37" x14ac:dyDescent="0.2">
      <c r="B70" s="44"/>
      <c r="C70" s="135"/>
      <c r="D70" s="135"/>
      <c r="E70" s="135"/>
      <c r="F70" s="135"/>
      <c r="G70" s="135"/>
      <c r="H70" s="75">
        <v>6712</v>
      </c>
      <c r="I70" s="131" t="s">
        <v>220</v>
      </c>
      <c r="J70" s="160"/>
      <c r="K70" s="68">
        <f t="shared" si="7"/>
        <v>0</v>
      </c>
      <c r="L70" s="68">
        <f t="shared" si="8"/>
        <v>0</v>
      </c>
      <c r="N70" s="38"/>
      <c r="O70" s="38"/>
      <c r="P70" s="38"/>
      <c r="Q70" s="38"/>
      <c r="R70"/>
      <c r="S70"/>
      <c r="T70"/>
      <c r="U70"/>
      <c r="V70"/>
      <c r="W70"/>
      <c r="X70"/>
      <c r="Y70"/>
      <c r="Z70"/>
      <c r="AA70"/>
      <c r="AB70"/>
      <c r="AC70"/>
      <c r="AD70"/>
      <c r="AH70" s="3"/>
      <c r="AI70" s="3"/>
      <c r="AJ70" s="3"/>
      <c r="AK70" s="3"/>
    </row>
    <row r="71" spans="1:37" x14ac:dyDescent="0.2">
      <c r="A71" s="134"/>
      <c r="B71" s="44"/>
      <c r="C71" s="135"/>
      <c r="D71" s="142"/>
      <c r="E71" s="142"/>
      <c r="F71" s="142"/>
      <c r="G71" s="142"/>
      <c r="H71" s="75">
        <v>6800</v>
      </c>
      <c r="I71" s="131" t="s">
        <v>221</v>
      </c>
      <c r="J71" s="160">
        <f>Q68</f>
        <v>2400</v>
      </c>
      <c r="K71" s="68">
        <f>J71</f>
        <v>2400</v>
      </c>
      <c r="L71" s="68">
        <f>K71</f>
        <v>2400</v>
      </c>
      <c r="N71" s="38"/>
      <c r="O71" s="38"/>
      <c r="P71" s="38"/>
      <c r="Q71" s="38"/>
      <c r="R71"/>
      <c r="S71"/>
      <c r="T71"/>
      <c r="U71"/>
      <c r="V71"/>
      <c r="W71"/>
      <c r="X71"/>
      <c r="Y71"/>
      <c r="Z71"/>
      <c r="AA71"/>
      <c r="AB71"/>
      <c r="AC71"/>
      <c r="AD71"/>
      <c r="AH71" s="3"/>
      <c r="AI71" s="3"/>
      <c r="AJ71" s="3"/>
      <c r="AK71" s="3"/>
    </row>
    <row r="72" spans="1:37" x14ac:dyDescent="0.2">
      <c r="B72" s="44"/>
      <c r="C72" s="135"/>
      <c r="D72" s="47"/>
      <c r="E72" s="47"/>
      <c r="F72" s="47"/>
      <c r="G72" s="47"/>
      <c r="H72" s="75">
        <v>6815</v>
      </c>
      <c r="I72" s="131" t="s">
        <v>222</v>
      </c>
      <c r="J72" s="161"/>
      <c r="K72" s="68">
        <f t="shared" si="7"/>
        <v>0</v>
      </c>
      <c r="L72" s="68">
        <f t="shared" si="8"/>
        <v>0</v>
      </c>
      <c r="N72" s="98"/>
      <c r="O72" s="98"/>
      <c r="P72" s="115"/>
      <c r="Q72" s="115"/>
      <c r="R72"/>
      <c r="S72"/>
      <c r="T72"/>
      <c r="U72"/>
      <c r="V72"/>
      <c r="W72"/>
      <c r="X72"/>
      <c r="Y72"/>
      <c r="Z72"/>
      <c r="AA72"/>
      <c r="AB72"/>
      <c r="AC72"/>
      <c r="AD72"/>
      <c r="AH72" s="3"/>
      <c r="AI72" s="3"/>
      <c r="AJ72" s="3"/>
      <c r="AK72" s="3"/>
    </row>
    <row r="73" spans="1:37" x14ac:dyDescent="0.2">
      <c r="B73" s="144"/>
      <c r="C73" s="135"/>
      <c r="D73" s="47"/>
      <c r="E73" s="47"/>
      <c r="F73" s="47"/>
      <c r="G73" s="47"/>
      <c r="H73" s="100"/>
      <c r="I73" s="100" t="s">
        <v>223</v>
      </c>
      <c r="J73" s="100">
        <f>SUM(J20:J72)+J14</f>
        <v>79393.118748215958</v>
      </c>
      <c r="K73" s="100">
        <f t="shared" ref="K73:L73" si="21">SUM(K20:K72)+K14</f>
        <v>95569.693703607336</v>
      </c>
      <c r="L73" s="100">
        <f t="shared" si="21"/>
        <v>115103.86981042687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H73" s="3"/>
      <c r="AI73" s="3"/>
      <c r="AJ73" s="3"/>
      <c r="AK73" s="3"/>
    </row>
    <row r="74" spans="1:37" x14ac:dyDescent="0.2">
      <c r="B74" s="44"/>
      <c r="C74" s="135"/>
      <c r="D74" s="47"/>
      <c r="E74" s="47"/>
      <c r="F74" s="47"/>
      <c r="G74" s="47"/>
      <c r="H74" s="136"/>
      <c r="I74" s="137"/>
      <c r="J74" s="97"/>
      <c r="K74" s="97"/>
      <c r="L74" s="97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H74" s="3"/>
      <c r="AI74" s="3"/>
      <c r="AJ74" s="3"/>
      <c r="AK74" s="3"/>
    </row>
    <row r="75" spans="1:37" x14ac:dyDescent="0.2">
      <c r="B75" s="44"/>
      <c r="C75" s="135"/>
      <c r="D75" s="64"/>
      <c r="E75" s="64"/>
      <c r="F75" s="64"/>
      <c r="G75" s="64"/>
      <c r="H75" s="138" t="s">
        <v>225</v>
      </c>
      <c r="I75" s="139"/>
      <c r="J75" s="100">
        <f>J12-J73</f>
        <v>20606.881251784042</v>
      </c>
      <c r="K75" s="100">
        <f>K12-K73</f>
        <v>14430.306296392664</v>
      </c>
      <c r="L75" s="100">
        <f>L12-L73</f>
        <v>14896.13018957313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H75" s="3"/>
      <c r="AI75" s="3"/>
      <c r="AJ75" s="3"/>
      <c r="AK75" s="3"/>
    </row>
    <row r="76" spans="1:37" x14ac:dyDescent="0.2">
      <c r="A76" s="146"/>
      <c r="B76" s="44"/>
      <c r="C76" s="64"/>
      <c r="D76" s="64"/>
      <c r="E76" s="64"/>
      <c r="F76" s="64"/>
      <c r="G76" s="64"/>
      <c r="H76" s="140"/>
      <c r="I76" s="141"/>
      <c r="J76" s="101"/>
      <c r="K76" s="101"/>
      <c r="L76" s="10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H76" s="3"/>
      <c r="AI76" s="3"/>
      <c r="AJ76" s="3"/>
      <c r="AK76" s="3"/>
    </row>
    <row r="77" spans="1:37" x14ac:dyDescent="0.2">
      <c r="A77" s="146"/>
      <c r="B77" s="44"/>
      <c r="C77" s="64"/>
      <c r="D77" s="64"/>
      <c r="E77" s="64"/>
      <c r="F77" s="64"/>
      <c r="G77" s="64"/>
      <c r="H77" s="136"/>
      <c r="I77" s="143" t="s">
        <v>266</v>
      </c>
      <c r="J77" s="97">
        <f>-J75*0.15</f>
        <v>-3091.032187767606</v>
      </c>
      <c r="K77" s="97">
        <f>-K75*0.15</f>
        <v>-2164.5459444588996</v>
      </c>
      <c r="L77" s="97">
        <f>-L75*0.15</f>
        <v>-2234.4195284359694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H77" s="3"/>
      <c r="AI77" s="3"/>
      <c r="AJ77" s="3"/>
      <c r="AK77" s="3"/>
    </row>
    <row r="78" spans="1:37" x14ac:dyDescent="0.2">
      <c r="A78" s="146"/>
      <c r="B78" s="44"/>
      <c r="C78" s="64"/>
      <c r="D78" s="64"/>
      <c r="E78" s="64"/>
      <c r="F78" s="64"/>
      <c r="G78" s="64"/>
      <c r="H78" s="138"/>
      <c r="I78" s="143" t="s">
        <v>267</v>
      </c>
      <c r="J78" s="100"/>
      <c r="K78" s="100"/>
      <c r="L78" s="100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H78" s="3"/>
      <c r="AI78" s="3"/>
      <c r="AJ78" s="3"/>
      <c r="AK78" s="3"/>
    </row>
    <row r="79" spans="1:37" x14ac:dyDescent="0.2">
      <c r="B79" s="44"/>
      <c r="C79" s="64"/>
      <c r="D79" s="64"/>
      <c r="E79" s="64"/>
      <c r="F79" s="64"/>
      <c r="G79" s="64"/>
      <c r="H79" s="138"/>
      <c r="I79" s="143" t="s">
        <v>268</v>
      </c>
      <c r="J79" s="100"/>
      <c r="K79" s="100"/>
      <c r="L79" s="100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H79" s="3"/>
      <c r="AI79" s="3"/>
      <c r="AJ79" s="3"/>
      <c r="AK79" s="3"/>
    </row>
    <row r="80" spans="1:37" x14ac:dyDescent="0.2">
      <c r="B80" s="44"/>
      <c r="C80" s="150"/>
      <c r="D80" s="64"/>
      <c r="E80" s="64"/>
      <c r="F80" s="64"/>
      <c r="G80" s="64"/>
      <c r="H80" s="138"/>
      <c r="I80" s="143"/>
      <c r="J80" s="100"/>
      <c r="K80" s="100"/>
      <c r="L80" s="10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H80" s="3"/>
      <c r="AI80" s="3"/>
      <c r="AJ80" s="3"/>
      <c r="AK80" s="3"/>
    </row>
    <row r="81" spans="1:37" x14ac:dyDescent="0.2">
      <c r="B81" s="44"/>
      <c r="C81" s="133"/>
      <c r="D81" s="64"/>
      <c r="E81" s="64"/>
      <c r="F81" s="64"/>
      <c r="G81" s="64"/>
      <c r="H81" s="140"/>
      <c r="I81" s="145" t="s">
        <v>226</v>
      </c>
      <c r="J81" s="101">
        <f>J75+J77+J79+J80</f>
        <v>17515.849064016435</v>
      </c>
      <c r="K81" s="101">
        <f>K75+K77+K79+K80</f>
        <v>12265.760351933764</v>
      </c>
      <c r="L81" s="101">
        <f>L75+L77+L79+L80</f>
        <v>12661.71066113716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H81" s="3"/>
      <c r="AI81" s="3"/>
      <c r="AJ81" s="3"/>
      <c r="AK81" s="3"/>
    </row>
    <row r="82" spans="1:37" x14ac:dyDescent="0.2">
      <c r="A82" s="3"/>
      <c r="B82" s="44"/>
      <c r="C82" s="150"/>
      <c r="D82" s="47"/>
      <c r="E82" s="47"/>
      <c r="F82" s="47"/>
      <c r="G82" s="47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H82" s="3"/>
      <c r="AI82" s="3"/>
      <c r="AJ82" s="3"/>
      <c r="AK82" s="3"/>
    </row>
    <row r="83" spans="1:37" x14ac:dyDescent="0.2">
      <c r="A83" s="3"/>
      <c r="B83" s="44"/>
      <c r="C83" s="47"/>
      <c r="D83" s="151"/>
      <c r="E83" s="151"/>
      <c r="F83" s="151"/>
      <c r="G83" s="151"/>
      <c r="H83" s="147"/>
      <c r="I83" s="148" t="s">
        <v>227</v>
      </c>
      <c r="J83" s="149">
        <f>J81/J12</f>
        <v>0.17515849064016434</v>
      </c>
      <c r="K83" s="149">
        <f>K81/K12</f>
        <v>0.11150691229030694</v>
      </c>
      <c r="L83" s="149">
        <f>L81/L12</f>
        <v>9.7397774316439686E-2</v>
      </c>
      <c r="P83"/>
      <c r="Q83"/>
      <c r="S83"/>
      <c r="T83"/>
      <c r="U83"/>
      <c r="V83"/>
      <c r="W83"/>
      <c r="X83"/>
      <c r="Y83"/>
      <c r="Z83"/>
      <c r="AA83"/>
      <c r="AB83"/>
      <c r="AC83"/>
      <c r="AD83"/>
      <c r="AH83" s="3"/>
      <c r="AI83" s="3"/>
      <c r="AJ83" s="3"/>
      <c r="AK83" s="3"/>
    </row>
    <row r="84" spans="1:37" x14ac:dyDescent="0.2">
      <c r="A84" s="3"/>
      <c r="C84" s="44"/>
      <c r="D84" s="47"/>
      <c r="E84" s="47"/>
      <c r="F84" s="47"/>
      <c r="G84" s="47"/>
      <c r="S84"/>
      <c r="T84"/>
      <c r="U84"/>
      <c r="V84"/>
      <c r="W84"/>
      <c r="X84"/>
      <c r="Y84"/>
      <c r="Z84"/>
      <c r="AA84"/>
      <c r="AB84"/>
      <c r="AC84"/>
      <c r="AD84"/>
      <c r="AH84" s="3"/>
      <c r="AI84" s="3"/>
      <c r="AJ84" s="3"/>
      <c r="AK84" s="3"/>
    </row>
    <row r="85" spans="1:37" x14ac:dyDescent="0.2">
      <c r="A85" s="3"/>
      <c r="B85" s="152"/>
      <c r="C85" s="47"/>
      <c r="D85" s="47"/>
      <c r="E85" s="47"/>
      <c r="F85" s="47"/>
      <c r="G85" s="47"/>
      <c r="I85" s="170" t="s">
        <v>253</v>
      </c>
      <c r="J85" s="171">
        <f>J37+J57+J38</f>
        <v>1600</v>
      </c>
      <c r="S85"/>
      <c r="T85"/>
      <c r="U85"/>
      <c r="V85"/>
      <c r="W85"/>
      <c r="X85"/>
      <c r="Y85"/>
      <c r="Z85"/>
      <c r="AA85"/>
      <c r="AB85"/>
      <c r="AC85"/>
      <c r="AD85"/>
      <c r="AH85" s="3"/>
      <c r="AI85" s="3"/>
      <c r="AJ85" s="3"/>
      <c r="AK85" s="3"/>
    </row>
    <row r="86" spans="1:37" x14ac:dyDescent="0.2">
      <c r="A86" s="3"/>
      <c r="C86" s="47"/>
      <c r="D86" s="47"/>
      <c r="E86" s="47"/>
      <c r="F86" s="47"/>
      <c r="G86" s="47"/>
      <c r="I86" s="3" t="s">
        <v>228</v>
      </c>
      <c r="J86" s="3">
        <f>J77</f>
        <v>-3091.032187767606</v>
      </c>
      <c r="K86" s="3">
        <f>K77-J77</f>
        <v>926.48624330870643</v>
      </c>
      <c r="L86" s="3">
        <f>L77-K77</f>
        <v>-69.873583977069757</v>
      </c>
      <c r="S86"/>
      <c r="T86"/>
      <c r="U86"/>
      <c r="V86"/>
      <c r="W86"/>
      <c r="X86"/>
      <c r="Y86"/>
      <c r="Z86"/>
      <c r="AA86"/>
      <c r="AB86"/>
      <c r="AC86"/>
      <c r="AD86"/>
      <c r="AK86" s="3"/>
    </row>
    <row r="87" spans="1:37" x14ac:dyDescent="0.2">
      <c r="A87" s="3"/>
      <c r="C87" s="47"/>
      <c r="D87" s="47"/>
      <c r="E87" s="47"/>
      <c r="F87" s="47"/>
      <c r="G87" s="47"/>
      <c r="S87"/>
      <c r="T87"/>
      <c r="U87"/>
      <c r="V87"/>
      <c r="W87"/>
      <c r="X87"/>
      <c r="Y87"/>
      <c r="Z87"/>
      <c r="AA87"/>
      <c r="AB87"/>
      <c r="AC87"/>
      <c r="AD87"/>
      <c r="AK87" s="3"/>
    </row>
    <row r="88" spans="1:37" x14ac:dyDescent="0.2">
      <c r="A88" s="3"/>
      <c r="C88" s="47"/>
      <c r="D88" s="47"/>
      <c r="E88" s="47"/>
      <c r="F88" s="47"/>
      <c r="G88" s="47"/>
      <c r="S88"/>
      <c r="T88"/>
      <c r="U88"/>
      <c r="V88"/>
      <c r="W88"/>
      <c r="X88"/>
      <c r="Y88"/>
      <c r="Z88"/>
      <c r="AA88"/>
      <c r="AB88"/>
      <c r="AC88"/>
      <c r="AD88"/>
      <c r="AK88" s="3"/>
    </row>
    <row r="89" spans="1:37" x14ac:dyDescent="0.2">
      <c r="A89" s="3"/>
      <c r="C89" s="47"/>
      <c r="D89" s="47"/>
      <c r="E89" s="47"/>
      <c r="F89" s="47"/>
      <c r="G89" s="47"/>
      <c r="S89"/>
      <c r="U89"/>
      <c r="V89"/>
      <c r="W89"/>
      <c r="X89"/>
      <c r="Y89"/>
      <c r="Z89"/>
      <c r="AA89"/>
      <c r="AB89"/>
      <c r="AC89"/>
      <c r="AD89"/>
      <c r="AK89" s="3"/>
    </row>
    <row r="90" spans="1:37" x14ac:dyDescent="0.2">
      <c r="A90" s="3"/>
      <c r="C90" s="47"/>
      <c r="D90" s="47"/>
      <c r="E90" s="47"/>
      <c r="F90" s="47"/>
      <c r="G90" s="47"/>
      <c r="S90"/>
      <c r="AD90"/>
      <c r="AK90" s="3"/>
    </row>
    <row r="91" spans="1:37" x14ac:dyDescent="0.2">
      <c r="A91" s="3"/>
      <c r="C91" s="47"/>
      <c r="D91" s="47"/>
      <c r="E91" s="47"/>
      <c r="F91" s="47"/>
      <c r="G91" s="47"/>
    </row>
    <row r="92" spans="1:37" x14ac:dyDescent="0.2">
      <c r="A92" s="3"/>
      <c r="C92" s="47"/>
      <c r="D92" s="47"/>
      <c r="E92" s="47"/>
      <c r="F92" s="47"/>
      <c r="G92" s="47"/>
    </row>
    <row r="93" spans="1:37" x14ac:dyDescent="0.2">
      <c r="A93" s="3"/>
      <c r="C93" s="47"/>
    </row>
  </sheetData>
  <printOptions horizontalCentered="1" verticalCentered="1"/>
  <pageMargins left="0" right="0" top="0.75" bottom="0.75" header="0.3" footer="0.3"/>
  <pageSetup paperSize="9" scale="56" fitToWidth="6" orientation="portrait" horizontalDpi="0" verticalDpi="0"/>
  <colBreaks count="6" manualBreakCount="6">
    <brk id="1" max="1048575" man="1"/>
    <brk id="2" max="1048575" man="1"/>
    <brk id="7" max="1048575" man="1"/>
    <brk id="13" max="1048575" man="1"/>
    <brk id="19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7796-0DE9-D344-8328-F54FEF167D42}">
  <dimension ref="A2:H92"/>
  <sheetViews>
    <sheetView workbookViewId="0">
      <selection activeCell="D5" sqref="D5"/>
    </sheetView>
  </sheetViews>
  <sheetFormatPr baseColWidth="10" defaultRowHeight="16" x14ac:dyDescent="0.2"/>
  <sheetData>
    <row r="2" spans="1:8" x14ac:dyDescent="0.2">
      <c r="A2" t="s">
        <v>255</v>
      </c>
      <c r="B2" s="183">
        <v>10000</v>
      </c>
      <c r="D2" t="s">
        <v>256</v>
      </c>
      <c r="E2" s="176"/>
      <c r="F2" s="176">
        <f>PMT(C3,B4,B2)</f>
        <v>-225.79054641689982</v>
      </c>
      <c r="G2" s="176">
        <f>F2*12</f>
        <v>-2709.4865570027978</v>
      </c>
    </row>
    <row r="3" spans="1:8" x14ac:dyDescent="0.2">
      <c r="A3" t="s">
        <v>257</v>
      </c>
      <c r="B3" s="184">
        <v>0.04</v>
      </c>
      <c r="C3">
        <f>B3/12</f>
        <v>3.3333333333333335E-3</v>
      </c>
    </row>
    <row r="4" spans="1:8" x14ac:dyDescent="0.2">
      <c r="A4" t="s">
        <v>258</v>
      </c>
      <c r="B4" s="185">
        <f>4*12</f>
        <v>48</v>
      </c>
    </row>
    <row r="6" spans="1:8" x14ac:dyDescent="0.2">
      <c r="B6" t="s">
        <v>259</v>
      </c>
      <c r="C6" t="s">
        <v>260</v>
      </c>
      <c r="D6" t="s">
        <v>261</v>
      </c>
      <c r="E6" t="s">
        <v>256</v>
      </c>
      <c r="F6" t="s">
        <v>262</v>
      </c>
      <c r="G6" t="s">
        <v>263</v>
      </c>
      <c r="H6" t="s">
        <v>264</v>
      </c>
    </row>
    <row r="7" spans="1:8" x14ac:dyDescent="0.2">
      <c r="A7">
        <v>1</v>
      </c>
      <c r="B7" s="175">
        <f>B2</f>
        <v>10000</v>
      </c>
      <c r="C7" s="175">
        <f>B7*$C$3</f>
        <v>33.333333333333336</v>
      </c>
      <c r="D7" s="175">
        <f>-$F$2-C7</f>
        <v>192.45721308356647</v>
      </c>
      <c r="E7" s="175">
        <f>C7+D7</f>
        <v>225.79054641689982</v>
      </c>
      <c r="F7" s="175">
        <f>B7-D7</f>
        <v>9807.5427869164341</v>
      </c>
    </row>
    <row r="8" spans="1:8" x14ac:dyDescent="0.2">
      <c r="A8">
        <f>A7+1</f>
        <v>2</v>
      </c>
      <c r="B8" s="175">
        <f t="shared" ref="B8:B39" si="0">B7-D7</f>
        <v>9807.5427869164341</v>
      </c>
      <c r="C8" s="175">
        <f>B8*$C$3</f>
        <v>32.691809289721448</v>
      </c>
      <c r="D8" s="175">
        <f t="shared" ref="D8:D54" si="1">-$F$2-C8</f>
        <v>193.09873712717837</v>
      </c>
      <c r="E8" s="175">
        <f t="shared" ref="E8:E54" si="2">C8+D8</f>
        <v>225.79054641689982</v>
      </c>
      <c r="F8" s="175">
        <f t="shared" ref="F8:F54" si="3">B8-D8</f>
        <v>9614.4440497892556</v>
      </c>
    </row>
    <row r="9" spans="1:8" x14ac:dyDescent="0.2">
      <c r="A9">
        <f t="shared" ref="A9:A54" si="4">A8+1</f>
        <v>3</v>
      </c>
      <c r="B9" s="175">
        <f t="shared" si="0"/>
        <v>9614.4440497892556</v>
      </c>
      <c r="C9" s="175">
        <f t="shared" ref="C9:C54" si="5">B9*$C$3</f>
        <v>32.048146832630856</v>
      </c>
      <c r="D9" s="175">
        <f t="shared" si="1"/>
        <v>193.74239958426895</v>
      </c>
      <c r="E9" s="175">
        <f t="shared" si="2"/>
        <v>225.79054641689982</v>
      </c>
      <c r="F9" s="175">
        <f t="shared" si="3"/>
        <v>9420.7016502049864</v>
      </c>
    </row>
    <row r="10" spans="1:8" x14ac:dyDescent="0.2">
      <c r="A10">
        <f t="shared" si="4"/>
        <v>4</v>
      </c>
      <c r="B10" s="175">
        <f t="shared" si="0"/>
        <v>9420.7016502049864</v>
      </c>
      <c r="C10" s="175">
        <f t="shared" si="5"/>
        <v>31.402338834016625</v>
      </c>
      <c r="D10" s="175">
        <f t="shared" si="1"/>
        <v>194.38820758288318</v>
      </c>
      <c r="E10" s="175">
        <f t="shared" si="2"/>
        <v>225.79054641689982</v>
      </c>
      <c r="F10" s="175">
        <f t="shared" si="3"/>
        <v>9226.313442622104</v>
      </c>
    </row>
    <row r="11" spans="1:8" x14ac:dyDescent="0.2">
      <c r="A11">
        <f t="shared" si="4"/>
        <v>5</v>
      </c>
      <c r="B11" s="175">
        <f t="shared" si="0"/>
        <v>9226.313442622104</v>
      </c>
      <c r="C11" s="175">
        <f t="shared" si="5"/>
        <v>30.754378142073683</v>
      </c>
      <c r="D11" s="175">
        <f t="shared" si="1"/>
        <v>195.03616827482614</v>
      </c>
      <c r="E11" s="175">
        <f t="shared" si="2"/>
        <v>225.79054641689982</v>
      </c>
      <c r="F11" s="175">
        <f t="shared" si="3"/>
        <v>9031.2772743472779</v>
      </c>
    </row>
    <row r="12" spans="1:8" x14ac:dyDescent="0.2">
      <c r="A12">
        <f t="shared" si="4"/>
        <v>6</v>
      </c>
      <c r="B12" s="175">
        <f t="shared" si="0"/>
        <v>9031.2772743472779</v>
      </c>
      <c r="C12" s="175">
        <f t="shared" si="5"/>
        <v>30.104257581157594</v>
      </c>
      <c r="D12" s="175">
        <f t="shared" si="1"/>
        <v>195.68628883574223</v>
      </c>
      <c r="E12" s="175">
        <f t="shared" si="2"/>
        <v>225.79054641689982</v>
      </c>
      <c r="F12" s="175">
        <f t="shared" si="3"/>
        <v>8835.5909855115351</v>
      </c>
    </row>
    <row r="13" spans="1:8" x14ac:dyDescent="0.2">
      <c r="A13">
        <f t="shared" si="4"/>
        <v>7</v>
      </c>
      <c r="B13" s="175">
        <f t="shared" si="0"/>
        <v>8835.5909855115351</v>
      </c>
      <c r="C13" s="175">
        <f t="shared" si="5"/>
        <v>29.45196995170512</v>
      </c>
      <c r="D13" s="175">
        <f t="shared" si="1"/>
        <v>196.33857646519471</v>
      </c>
      <c r="E13" s="175">
        <f t="shared" si="2"/>
        <v>225.79054641689982</v>
      </c>
      <c r="F13" s="175">
        <f t="shared" si="3"/>
        <v>8639.2524090463412</v>
      </c>
    </row>
    <row r="14" spans="1:8" x14ac:dyDescent="0.2">
      <c r="A14">
        <f t="shared" si="4"/>
        <v>8</v>
      </c>
      <c r="B14" s="175">
        <f t="shared" si="0"/>
        <v>8639.2524090463412</v>
      </c>
      <c r="C14" s="175">
        <f t="shared" si="5"/>
        <v>28.797508030154471</v>
      </c>
      <c r="D14" s="175">
        <f t="shared" si="1"/>
        <v>196.99303838674535</v>
      </c>
      <c r="E14" s="175">
        <f t="shared" si="2"/>
        <v>225.79054641689982</v>
      </c>
      <c r="F14" s="175">
        <f t="shared" si="3"/>
        <v>8442.2593706595962</v>
      </c>
    </row>
    <row r="15" spans="1:8" x14ac:dyDescent="0.2">
      <c r="A15">
        <f t="shared" si="4"/>
        <v>9</v>
      </c>
      <c r="B15" s="175">
        <f t="shared" si="0"/>
        <v>8442.2593706595962</v>
      </c>
      <c r="C15" s="175">
        <f t="shared" si="5"/>
        <v>28.140864568865322</v>
      </c>
      <c r="D15" s="175">
        <f t="shared" si="1"/>
        <v>197.6496818480345</v>
      </c>
      <c r="E15" s="175">
        <f t="shared" si="2"/>
        <v>225.79054641689982</v>
      </c>
      <c r="F15" s="175">
        <f t="shared" si="3"/>
        <v>8244.6096888115626</v>
      </c>
      <c r="G15" s="175"/>
      <c r="H15" s="175"/>
    </row>
    <row r="16" spans="1:8" x14ac:dyDescent="0.2">
      <c r="A16">
        <f t="shared" si="4"/>
        <v>10</v>
      </c>
      <c r="B16" s="175">
        <f t="shared" si="0"/>
        <v>8244.6096888115626</v>
      </c>
      <c r="C16" s="175">
        <f t="shared" si="5"/>
        <v>27.482032296038543</v>
      </c>
      <c r="D16" s="175">
        <f t="shared" si="1"/>
        <v>198.30851412086128</v>
      </c>
      <c r="E16" s="175">
        <f t="shared" si="2"/>
        <v>225.79054641689982</v>
      </c>
      <c r="F16" s="175">
        <f t="shared" si="3"/>
        <v>8046.3011746907014</v>
      </c>
      <c r="G16" s="175"/>
      <c r="H16" s="175"/>
    </row>
    <row r="17" spans="1:8" x14ac:dyDescent="0.2">
      <c r="A17">
        <f t="shared" si="4"/>
        <v>11</v>
      </c>
      <c r="B17" s="175">
        <f t="shared" si="0"/>
        <v>8046.3011746907014</v>
      </c>
      <c r="C17" s="175">
        <f t="shared" si="5"/>
        <v>26.821003915635671</v>
      </c>
      <c r="D17" s="175">
        <f t="shared" si="1"/>
        <v>198.96954250126413</v>
      </c>
      <c r="E17" s="175">
        <f t="shared" si="2"/>
        <v>225.79054641689982</v>
      </c>
      <c r="F17" s="175">
        <f t="shared" si="3"/>
        <v>7847.3316321894372</v>
      </c>
    </row>
    <row r="18" spans="1:8" x14ac:dyDescent="0.2">
      <c r="A18">
        <f t="shared" si="4"/>
        <v>12</v>
      </c>
      <c r="B18" s="175">
        <f t="shared" si="0"/>
        <v>7847.3316321894372</v>
      </c>
      <c r="C18" s="175">
        <f t="shared" si="5"/>
        <v>26.157772107298126</v>
      </c>
      <c r="D18" s="175">
        <f t="shared" si="1"/>
        <v>199.6327743096017</v>
      </c>
      <c r="E18" s="175">
        <f t="shared" si="2"/>
        <v>225.79054641689982</v>
      </c>
      <c r="F18" s="177">
        <f t="shared" si="3"/>
        <v>7647.6988578798355</v>
      </c>
      <c r="G18" s="175">
        <f>SUM(C7:C18)</f>
        <v>357.18541488263077</v>
      </c>
      <c r="H18" s="175">
        <f>SUM(D7:D18)</f>
        <v>2352.3011421201672</v>
      </c>
    </row>
    <row r="19" spans="1:8" x14ac:dyDescent="0.2">
      <c r="A19">
        <f t="shared" si="4"/>
        <v>13</v>
      </c>
      <c r="B19" s="175">
        <f t="shared" si="0"/>
        <v>7647.6988578798355</v>
      </c>
      <c r="C19" s="175">
        <f t="shared" si="5"/>
        <v>25.492329526266118</v>
      </c>
      <c r="D19" s="175">
        <f t="shared" si="1"/>
        <v>200.29821689063368</v>
      </c>
      <c r="E19" s="175">
        <f t="shared" si="2"/>
        <v>225.79054641689982</v>
      </c>
      <c r="F19" s="175">
        <f t="shared" si="3"/>
        <v>7447.4006409892017</v>
      </c>
    </row>
    <row r="20" spans="1:8" x14ac:dyDescent="0.2">
      <c r="A20">
        <f t="shared" si="4"/>
        <v>14</v>
      </c>
      <c r="B20" s="175">
        <f t="shared" si="0"/>
        <v>7447.4006409892017</v>
      </c>
      <c r="C20" s="175">
        <f t="shared" si="5"/>
        <v>24.824668803297342</v>
      </c>
      <c r="D20" s="175">
        <f t="shared" si="1"/>
        <v>200.96587761360246</v>
      </c>
      <c r="E20" s="175">
        <f t="shared" si="2"/>
        <v>225.79054641689982</v>
      </c>
      <c r="F20" s="175">
        <f t="shared" si="3"/>
        <v>7246.4347633755997</v>
      </c>
    </row>
    <row r="21" spans="1:8" x14ac:dyDescent="0.2">
      <c r="A21">
        <f t="shared" si="4"/>
        <v>15</v>
      </c>
      <c r="B21" s="175">
        <f t="shared" si="0"/>
        <v>7246.4347633755997</v>
      </c>
      <c r="C21" s="175">
        <f t="shared" si="5"/>
        <v>24.154782544585334</v>
      </c>
      <c r="D21" s="175">
        <f t="shared" si="1"/>
        <v>201.63576387231447</v>
      </c>
      <c r="E21" s="175">
        <f t="shared" si="2"/>
        <v>225.79054641689982</v>
      </c>
      <c r="F21" s="175">
        <f t="shared" si="3"/>
        <v>7044.7989995032849</v>
      </c>
    </row>
    <row r="22" spans="1:8" x14ac:dyDescent="0.2">
      <c r="A22">
        <f t="shared" si="4"/>
        <v>16</v>
      </c>
      <c r="B22" s="175">
        <f t="shared" si="0"/>
        <v>7044.7989995032849</v>
      </c>
      <c r="C22" s="175">
        <f t="shared" si="5"/>
        <v>23.482663331677617</v>
      </c>
      <c r="D22" s="175">
        <f t="shared" si="1"/>
        <v>202.30788308522219</v>
      </c>
      <c r="E22" s="175">
        <f t="shared" si="2"/>
        <v>225.79054641689982</v>
      </c>
      <c r="F22" s="175">
        <f t="shared" si="3"/>
        <v>6842.491116418063</v>
      </c>
    </row>
    <row r="23" spans="1:8" x14ac:dyDescent="0.2">
      <c r="A23">
        <f t="shared" si="4"/>
        <v>17</v>
      </c>
      <c r="B23" s="175">
        <f t="shared" si="0"/>
        <v>6842.491116418063</v>
      </c>
      <c r="C23" s="175">
        <f t="shared" si="5"/>
        <v>22.808303721393546</v>
      </c>
      <c r="D23" s="175">
        <f t="shared" si="1"/>
        <v>202.98224269550627</v>
      </c>
      <c r="E23" s="175">
        <f t="shared" si="2"/>
        <v>225.79054641689982</v>
      </c>
      <c r="F23" s="175">
        <f t="shared" si="3"/>
        <v>6639.5088737225569</v>
      </c>
    </row>
    <row r="24" spans="1:8" x14ac:dyDescent="0.2">
      <c r="A24">
        <f t="shared" si="4"/>
        <v>18</v>
      </c>
      <c r="B24" s="175">
        <f t="shared" si="0"/>
        <v>6639.5088737225569</v>
      </c>
      <c r="C24" s="175">
        <f t="shared" si="5"/>
        <v>22.131696245741857</v>
      </c>
      <c r="D24" s="175">
        <f t="shared" si="1"/>
        <v>203.65885017115795</v>
      </c>
      <c r="E24" s="175">
        <f t="shared" si="2"/>
        <v>225.79054641689982</v>
      </c>
      <c r="F24" s="175">
        <f t="shared" si="3"/>
        <v>6435.8500235513993</v>
      </c>
    </row>
    <row r="25" spans="1:8" x14ac:dyDescent="0.2">
      <c r="A25">
        <f t="shared" si="4"/>
        <v>19</v>
      </c>
      <c r="B25" s="175">
        <f t="shared" si="0"/>
        <v>6435.8500235513993</v>
      </c>
      <c r="C25" s="175">
        <f t="shared" si="5"/>
        <v>21.452833411838</v>
      </c>
      <c r="D25" s="175">
        <f t="shared" si="1"/>
        <v>204.3377130050618</v>
      </c>
      <c r="E25" s="175">
        <f t="shared" si="2"/>
        <v>225.79054641689982</v>
      </c>
      <c r="F25" s="175">
        <f t="shared" si="3"/>
        <v>6231.5123105463372</v>
      </c>
    </row>
    <row r="26" spans="1:8" x14ac:dyDescent="0.2">
      <c r="A26">
        <f t="shared" si="4"/>
        <v>20</v>
      </c>
      <c r="B26" s="175">
        <f t="shared" si="0"/>
        <v>6231.5123105463372</v>
      </c>
      <c r="C26" s="175">
        <f t="shared" si="5"/>
        <v>20.771707701821125</v>
      </c>
      <c r="D26" s="175">
        <f t="shared" si="1"/>
        <v>205.01883871507869</v>
      </c>
      <c r="E26" s="175">
        <f t="shared" si="2"/>
        <v>225.79054641689982</v>
      </c>
      <c r="F26" s="175">
        <f t="shared" si="3"/>
        <v>6026.4934718312588</v>
      </c>
    </row>
    <row r="27" spans="1:8" x14ac:dyDescent="0.2">
      <c r="A27">
        <f t="shared" si="4"/>
        <v>21</v>
      </c>
      <c r="B27" s="175">
        <f t="shared" si="0"/>
        <v>6026.4934718312588</v>
      </c>
      <c r="C27" s="175">
        <f t="shared" si="5"/>
        <v>20.088311572770863</v>
      </c>
      <c r="D27" s="175">
        <f t="shared" si="1"/>
        <v>205.70223484412895</v>
      </c>
      <c r="E27" s="175">
        <f t="shared" si="2"/>
        <v>225.79054641689982</v>
      </c>
      <c r="F27" s="175">
        <f t="shared" si="3"/>
        <v>5820.7912369871301</v>
      </c>
      <c r="G27" s="175"/>
      <c r="H27" s="175"/>
    </row>
    <row r="28" spans="1:8" x14ac:dyDescent="0.2">
      <c r="A28">
        <f t="shared" si="4"/>
        <v>22</v>
      </c>
      <c r="B28" s="175">
        <f t="shared" si="0"/>
        <v>5820.7912369871301</v>
      </c>
      <c r="C28" s="175">
        <f t="shared" si="5"/>
        <v>19.402637456623768</v>
      </c>
      <c r="D28" s="175">
        <f t="shared" si="1"/>
        <v>206.38790896027604</v>
      </c>
      <c r="E28" s="175">
        <f t="shared" si="2"/>
        <v>225.79054641689982</v>
      </c>
      <c r="F28" s="175">
        <f t="shared" si="3"/>
        <v>5614.4033280268541</v>
      </c>
      <c r="G28" s="175"/>
      <c r="H28" s="175"/>
    </row>
    <row r="29" spans="1:8" x14ac:dyDescent="0.2">
      <c r="A29">
        <f t="shared" si="4"/>
        <v>23</v>
      </c>
      <c r="B29" s="175">
        <f t="shared" si="0"/>
        <v>5614.4033280268541</v>
      </c>
      <c r="C29" s="175">
        <f t="shared" si="5"/>
        <v>18.714677760089515</v>
      </c>
      <c r="D29" s="175">
        <f t="shared" si="1"/>
        <v>207.07586865681031</v>
      </c>
      <c r="E29" s="175">
        <f t="shared" si="2"/>
        <v>225.79054641689982</v>
      </c>
      <c r="F29" s="175">
        <f t="shared" si="3"/>
        <v>5407.3274593700435</v>
      </c>
    </row>
    <row r="30" spans="1:8" x14ac:dyDescent="0.2">
      <c r="A30">
        <f t="shared" si="4"/>
        <v>24</v>
      </c>
      <c r="B30" s="175">
        <f t="shared" si="0"/>
        <v>5407.3274593700435</v>
      </c>
      <c r="C30" s="175">
        <f t="shared" si="5"/>
        <v>18.024424864566814</v>
      </c>
      <c r="D30" s="175">
        <f t="shared" si="1"/>
        <v>207.766121552333</v>
      </c>
      <c r="E30" s="175">
        <f t="shared" si="2"/>
        <v>225.79054641689982</v>
      </c>
      <c r="F30" s="177">
        <f t="shared" si="3"/>
        <v>5199.5613378177104</v>
      </c>
      <c r="G30" s="175">
        <f>SUM(C19:C30)</f>
        <v>261.34903694067191</v>
      </c>
      <c r="H30" s="175">
        <f>SUM(D19:D30)</f>
        <v>2448.137520062126</v>
      </c>
    </row>
    <row r="31" spans="1:8" x14ac:dyDescent="0.2">
      <c r="A31">
        <f t="shared" si="4"/>
        <v>25</v>
      </c>
      <c r="B31" s="175">
        <f t="shared" si="0"/>
        <v>5199.5613378177104</v>
      </c>
      <c r="C31" s="175">
        <f t="shared" si="5"/>
        <v>17.331871126059035</v>
      </c>
      <c r="D31" s="175">
        <f t="shared" si="1"/>
        <v>208.45867529084077</v>
      </c>
      <c r="E31" s="175">
        <f t="shared" si="2"/>
        <v>225.79054641689982</v>
      </c>
      <c r="F31" s="175">
        <f t="shared" si="3"/>
        <v>4991.1026625268696</v>
      </c>
    </row>
    <row r="32" spans="1:8" x14ac:dyDescent="0.2">
      <c r="A32">
        <f t="shared" si="4"/>
        <v>26</v>
      </c>
      <c r="B32" s="175">
        <f t="shared" si="0"/>
        <v>4991.1026625268696</v>
      </c>
      <c r="C32" s="175">
        <f t="shared" si="5"/>
        <v>16.637008875089567</v>
      </c>
      <c r="D32" s="175">
        <f t="shared" si="1"/>
        <v>209.15353754181024</v>
      </c>
      <c r="E32" s="175">
        <f t="shared" si="2"/>
        <v>225.79054641689982</v>
      </c>
      <c r="F32" s="175">
        <f t="shared" si="3"/>
        <v>4781.9491249850598</v>
      </c>
    </row>
    <row r="33" spans="1:8" x14ac:dyDescent="0.2">
      <c r="A33">
        <f t="shared" si="4"/>
        <v>27</v>
      </c>
      <c r="B33" s="175">
        <f t="shared" si="0"/>
        <v>4781.9491249850598</v>
      </c>
      <c r="C33" s="175">
        <f t="shared" si="5"/>
        <v>15.939830416616868</v>
      </c>
      <c r="D33" s="175">
        <f t="shared" si="1"/>
        <v>209.85071600028294</v>
      </c>
      <c r="E33" s="175">
        <f t="shared" si="2"/>
        <v>225.79054641689982</v>
      </c>
      <c r="F33" s="175">
        <f t="shared" si="3"/>
        <v>4572.0984089847771</v>
      </c>
    </row>
    <row r="34" spans="1:8" x14ac:dyDescent="0.2">
      <c r="A34">
        <f t="shared" si="4"/>
        <v>28</v>
      </c>
      <c r="B34" s="175">
        <f t="shared" si="0"/>
        <v>4572.0984089847771</v>
      </c>
      <c r="C34" s="175">
        <f t="shared" si="5"/>
        <v>15.240328029949257</v>
      </c>
      <c r="D34" s="175">
        <f t="shared" si="1"/>
        <v>210.55021838695055</v>
      </c>
      <c r="E34" s="175">
        <f t="shared" si="2"/>
        <v>225.79054641689982</v>
      </c>
      <c r="F34" s="175">
        <f t="shared" si="3"/>
        <v>4361.5481905978268</v>
      </c>
    </row>
    <row r="35" spans="1:8" x14ac:dyDescent="0.2">
      <c r="A35">
        <f t="shared" si="4"/>
        <v>29</v>
      </c>
      <c r="B35" s="175">
        <f t="shared" si="0"/>
        <v>4361.5481905978268</v>
      </c>
      <c r="C35" s="175">
        <f t="shared" si="5"/>
        <v>14.538493968659424</v>
      </c>
      <c r="D35" s="175">
        <f t="shared" si="1"/>
        <v>211.25205244824039</v>
      </c>
      <c r="E35" s="175">
        <f t="shared" si="2"/>
        <v>225.79054641689982</v>
      </c>
      <c r="F35" s="175">
        <f t="shared" si="3"/>
        <v>4150.2961381495861</v>
      </c>
    </row>
    <row r="36" spans="1:8" x14ac:dyDescent="0.2">
      <c r="A36">
        <f t="shared" si="4"/>
        <v>30</v>
      </c>
      <c r="B36" s="175">
        <f t="shared" si="0"/>
        <v>4150.2961381495861</v>
      </c>
      <c r="C36" s="175">
        <f t="shared" si="5"/>
        <v>13.834320460498621</v>
      </c>
      <c r="D36" s="175">
        <f t="shared" si="1"/>
        <v>211.9562259564012</v>
      </c>
      <c r="E36" s="175">
        <f t="shared" si="2"/>
        <v>225.79054641689982</v>
      </c>
      <c r="F36" s="175">
        <f t="shared" si="3"/>
        <v>3938.3399121931848</v>
      </c>
    </row>
    <row r="37" spans="1:8" x14ac:dyDescent="0.2">
      <c r="A37">
        <f t="shared" si="4"/>
        <v>31</v>
      </c>
      <c r="B37" s="175">
        <f t="shared" si="0"/>
        <v>3938.3399121931848</v>
      </c>
      <c r="C37" s="175">
        <f t="shared" si="5"/>
        <v>13.127799707310617</v>
      </c>
      <c r="D37" s="175">
        <f t="shared" si="1"/>
        <v>212.66274670958919</v>
      </c>
      <c r="E37" s="175">
        <f t="shared" si="2"/>
        <v>225.79054641689982</v>
      </c>
      <c r="F37" s="175">
        <f t="shared" si="3"/>
        <v>3725.6771654835957</v>
      </c>
    </row>
    <row r="38" spans="1:8" x14ac:dyDescent="0.2">
      <c r="A38">
        <f t="shared" si="4"/>
        <v>32</v>
      </c>
      <c r="B38" s="175">
        <f t="shared" si="0"/>
        <v>3725.6771654835957</v>
      </c>
      <c r="C38" s="175">
        <f t="shared" si="5"/>
        <v>12.41892388494532</v>
      </c>
      <c r="D38" s="175">
        <f t="shared" si="1"/>
        <v>213.3716225319545</v>
      </c>
      <c r="E38" s="175">
        <f t="shared" si="2"/>
        <v>225.79054641689982</v>
      </c>
      <c r="F38" s="175">
        <f t="shared" si="3"/>
        <v>3512.3055429516412</v>
      </c>
    </row>
    <row r="39" spans="1:8" x14ac:dyDescent="0.2">
      <c r="A39">
        <f t="shared" si="4"/>
        <v>33</v>
      </c>
      <c r="B39" s="175">
        <f t="shared" si="0"/>
        <v>3512.3055429516412</v>
      </c>
      <c r="C39" s="175">
        <f t="shared" si="5"/>
        <v>11.707685143172139</v>
      </c>
      <c r="D39" s="175">
        <f t="shared" si="1"/>
        <v>214.08286127372767</v>
      </c>
      <c r="E39" s="175">
        <f t="shared" si="2"/>
        <v>225.79054641689982</v>
      </c>
      <c r="F39" s="175">
        <f t="shared" si="3"/>
        <v>3298.2226816779134</v>
      </c>
      <c r="G39" s="175"/>
      <c r="H39" s="175"/>
    </row>
    <row r="40" spans="1:8" x14ac:dyDescent="0.2">
      <c r="A40">
        <f t="shared" si="4"/>
        <v>34</v>
      </c>
      <c r="B40" s="175">
        <f>B39-D39</f>
        <v>3298.2226816779134</v>
      </c>
      <c r="C40" s="175">
        <f t="shared" si="5"/>
        <v>10.994075605593045</v>
      </c>
      <c r="D40" s="175">
        <f t="shared" si="1"/>
        <v>214.79647081130676</v>
      </c>
      <c r="E40" s="175">
        <f t="shared" si="2"/>
        <v>225.79054641689982</v>
      </c>
      <c r="F40" s="178">
        <f t="shared" si="3"/>
        <v>3083.4262108666067</v>
      </c>
      <c r="G40" s="175"/>
      <c r="H40" s="175"/>
    </row>
    <row r="41" spans="1:8" x14ac:dyDescent="0.2">
      <c r="A41">
        <f t="shared" si="4"/>
        <v>35</v>
      </c>
      <c r="B41" s="175">
        <f>B40-D40</f>
        <v>3083.4262108666067</v>
      </c>
      <c r="C41" s="175">
        <f t="shared" si="5"/>
        <v>10.278087369555356</v>
      </c>
      <c r="D41" s="175">
        <f t="shared" si="1"/>
        <v>215.51245904734446</v>
      </c>
      <c r="E41" s="175">
        <f t="shared" si="2"/>
        <v>225.79054641689982</v>
      </c>
      <c r="F41" s="175">
        <f t="shared" si="3"/>
        <v>2867.913751819262</v>
      </c>
    </row>
    <row r="42" spans="1:8" x14ac:dyDescent="0.2">
      <c r="A42">
        <f t="shared" si="4"/>
        <v>36</v>
      </c>
      <c r="B42" s="175">
        <f>B41-D41</f>
        <v>2867.913751819262</v>
      </c>
      <c r="C42" s="175">
        <f t="shared" si="5"/>
        <v>9.5597125060642067</v>
      </c>
      <c r="D42" s="175">
        <f t="shared" si="1"/>
        <v>216.2308339108356</v>
      </c>
      <c r="E42" s="175">
        <f t="shared" si="2"/>
        <v>225.79054641689982</v>
      </c>
      <c r="F42" s="177">
        <f t="shared" si="3"/>
        <v>2651.6829179084261</v>
      </c>
      <c r="G42" s="175">
        <f>SUM(C31:C42)</f>
        <v>161.60813709351345</v>
      </c>
      <c r="H42" s="175">
        <f>SUM(D31:D42)</f>
        <v>2547.8784199092843</v>
      </c>
    </row>
    <row r="43" spans="1:8" x14ac:dyDescent="0.2">
      <c r="A43">
        <f t="shared" si="4"/>
        <v>37</v>
      </c>
      <c r="B43" s="175">
        <f t="shared" ref="B43:B54" si="6">B42-D42</f>
        <v>2651.6829179084261</v>
      </c>
      <c r="C43" s="175">
        <f t="shared" si="5"/>
        <v>8.8389430596947545</v>
      </c>
      <c r="D43" s="175">
        <f t="shared" si="1"/>
        <v>216.95160335720507</v>
      </c>
      <c r="E43" s="175">
        <f t="shared" si="2"/>
        <v>225.79054641689982</v>
      </c>
      <c r="F43" s="175">
        <f t="shared" si="3"/>
        <v>2434.7313145512212</v>
      </c>
    </row>
    <row r="44" spans="1:8" x14ac:dyDescent="0.2">
      <c r="A44">
        <f t="shared" si="4"/>
        <v>38</v>
      </c>
      <c r="B44" s="175">
        <f t="shared" si="6"/>
        <v>2434.7313145512212</v>
      </c>
      <c r="C44" s="175">
        <f t="shared" si="5"/>
        <v>8.1157710485040706</v>
      </c>
      <c r="D44" s="175">
        <f t="shared" si="1"/>
        <v>217.67477536839576</v>
      </c>
      <c r="E44" s="175">
        <f t="shared" si="2"/>
        <v>225.79054641689982</v>
      </c>
      <c r="F44" s="175">
        <f t="shared" si="3"/>
        <v>2217.0565391828254</v>
      </c>
    </row>
    <row r="45" spans="1:8" x14ac:dyDescent="0.2">
      <c r="A45">
        <f t="shared" si="4"/>
        <v>39</v>
      </c>
      <c r="B45" s="175">
        <f t="shared" si="6"/>
        <v>2217.0565391828254</v>
      </c>
      <c r="C45" s="175">
        <f t="shared" si="5"/>
        <v>7.390188463942752</v>
      </c>
      <c r="D45" s="175">
        <f t="shared" si="1"/>
        <v>218.40035795295705</v>
      </c>
      <c r="E45" s="175">
        <f t="shared" si="2"/>
        <v>225.79054641689982</v>
      </c>
      <c r="F45" s="175">
        <f t="shared" si="3"/>
        <v>1998.6561812298683</v>
      </c>
    </row>
    <row r="46" spans="1:8" x14ac:dyDescent="0.2">
      <c r="A46">
        <f t="shared" si="4"/>
        <v>40</v>
      </c>
      <c r="B46" s="175">
        <f t="shared" si="6"/>
        <v>1998.6561812298683</v>
      </c>
      <c r="C46" s="175">
        <f t="shared" si="5"/>
        <v>6.6621872707662275</v>
      </c>
      <c r="D46" s="175">
        <f t="shared" si="1"/>
        <v>219.12835914613359</v>
      </c>
      <c r="E46" s="175">
        <f t="shared" si="2"/>
        <v>225.79054641689982</v>
      </c>
      <c r="F46" s="175">
        <f t="shared" si="3"/>
        <v>1779.5278220837347</v>
      </c>
    </row>
    <row r="47" spans="1:8" x14ac:dyDescent="0.2">
      <c r="A47">
        <f t="shared" si="4"/>
        <v>41</v>
      </c>
      <c r="B47" s="175">
        <f t="shared" si="6"/>
        <v>1779.5278220837347</v>
      </c>
      <c r="C47" s="175">
        <f t="shared" si="5"/>
        <v>5.9317594069457824</v>
      </c>
      <c r="D47" s="175">
        <f t="shared" si="1"/>
        <v>219.85878700995403</v>
      </c>
      <c r="E47" s="175">
        <f t="shared" si="2"/>
        <v>225.79054641689982</v>
      </c>
      <c r="F47" s="175">
        <f t="shared" si="3"/>
        <v>1559.6690350737806</v>
      </c>
    </row>
    <row r="48" spans="1:8" x14ac:dyDescent="0.2">
      <c r="A48">
        <f t="shared" si="4"/>
        <v>42</v>
      </c>
      <c r="B48" s="175">
        <f t="shared" si="6"/>
        <v>1559.6690350737806</v>
      </c>
      <c r="C48" s="175">
        <f t="shared" si="5"/>
        <v>5.1988967835792694</v>
      </c>
      <c r="D48" s="175">
        <f t="shared" si="1"/>
        <v>220.59164963332054</v>
      </c>
      <c r="E48" s="175">
        <f t="shared" si="2"/>
        <v>225.79054641689982</v>
      </c>
      <c r="F48" s="175">
        <f t="shared" si="3"/>
        <v>1339.0773854404601</v>
      </c>
    </row>
    <row r="49" spans="1:7" x14ac:dyDescent="0.2">
      <c r="A49">
        <f t="shared" si="4"/>
        <v>43</v>
      </c>
      <c r="B49" s="175">
        <f t="shared" si="6"/>
        <v>1339.0773854404601</v>
      </c>
      <c r="C49" s="175">
        <f t="shared" si="5"/>
        <v>4.4635912848015344</v>
      </c>
      <c r="D49" s="175">
        <f t="shared" si="1"/>
        <v>221.32695513209828</v>
      </c>
      <c r="E49" s="175">
        <f t="shared" si="2"/>
        <v>225.79054641689982</v>
      </c>
      <c r="F49" s="175">
        <f t="shared" si="3"/>
        <v>1117.750430308362</v>
      </c>
    </row>
    <row r="50" spans="1:7" x14ac:dyDescent="0.2">
      <c r="A50">
        <f t="shared" si="4"/>
        <v>44</v>
      </c>
      <c r="B50" s="175">
        <f t="shared" si="6"/>
        <v>1117.750430308362</v>
      </c>
      <c r="C50" s="175">
        <f t="shared" si="5"/>
        <v>3.7258347676945403</v>
      </c>
      <c r="D50" s="175">
        <f t="shared" si="1"/>
        <v>222.06471164920526</v>
      </c>
      <c r="E50" s="175">
        <f t="shared" si="2"/>
        <v>225.79054641689982</v>
      </c>
      <c r="F50" s="175">
        <f t="shared" si="3"/>
        <v>895.68571865915669</v>
      </c>
    </row>
    <row r="51" spans="1:7" x14ac:dyDescent="0.2">
      <c r="A51">
        <f t="shared" si="4"/>
        <v>45</v>
      </c>
      <c r="B51" s="175">
        <f t="shared" si="6"/>
        <v>895.68571865915669</v>
      </c>
      <c r="C51" s="175">
        <f t="shared" si="5"/>
        <v>2.985619062197189</v>
      </c>
      <c r="D51" s="175">
        <f t="shared" si="1"/>
        <v>222.80492735470261</v>
      </c>
      <c r="E51" s="175">
        <f t="shared" si="2"/>
        <v>225.79054641689982</v>
      </c>
      <c r="F51" s="175">
        <f t="shared" si="3"/>
        <v>672.88079130445408</v>
      </c>
    </row>
    <row r="52" spans="1:7" x14ac:dyDescent="0.2">
      <c r="A52">
        <f t="shared" si="4"/>
        <v>46</v>
      </c>
      <c r="B52" s="175">
        <f t="shared" si="6"/>
        <v>672.88079130445408</v>
      </c>
      <c r="C52" s="175">
        <f t="shared" si="5"/>
        <v>2.2429359710148469</v>
      </c>
      <c r="D52" s="175">
        <f t="shared" si="1"/>
        <v>223.54761044588497</v>
      </c>
      <c r="E52" s="175">
        <f t="shared" si="2"/>
        <v>225.79054641689982</v>
      </c>
      <c r="F52" s="175">
        <f t="shared" si="3"/>
        <v>449.33318085856911</v>
      </c>
    </row>
    <row r="53" spans="1:7" x14ac:dyDescent="0.2">
      <c r="A53">
        <f t="shared" si="4"/>
        <v>47</v>
      </c>
      <c r="B53" s="175">
        <f t="shared" si="6"/>
        <v>449.33318085856911</v>
      </c>
      <c r="C53" s="175">
        <f t="shared" si="5"/>
        <v>1.4977772695285638</v>
      </c>
      <c r="D53" s="175">
        <f t="shared" si="1"/>
        <v>224.29276914737125</v>
      </c>
      <c r="E53" s="175">
        <f t="shared" si="2"/>
        <v>225.79054641689982</v>
      </c>
      <c r="F53" s="175">
        <f t="shared" si="3"/>
        <v>225.04041171119786</v>
      </c>
    </row>
    <row r="54" spans="1:7" x14ac:dyDescent="0.2">
      <c r="A54">
        <f t="shared" si="4"/>
        <v>48</v>
      </c>
      <c r="B54" s="175">
        <f t="shared" si="6"/>
        <v>225.04041171119786</v>
      </c>
      <c r="C54" s="175">
        <f t="shared" si="5"/>
        <v>0.75013470570399288</v>
      </c>
      <c r="D54" s="175">
        <f t="shared" si="1"/>
        <v>225.04041171119582</v>
      </c>
      <c r="E54" s="175">
        <f t="shared" si="2"/>
        <v>225.79054641689982</v>
      </c>
      <c r="F54" s="179">
        <f t="shared" si="3"/>
        <v>2.0463630789890885E-12</v>
      </c>
      <c r="G54" s="175">
        <f>SUM(C7:C54)</f>
        <v>837.94622801118965</v>
      </c>
    </row>
    <row r="55" spans="1:7" x14ac:dyDescent="0.2">
      <c r="B55" s="175"/>
      <c r="C55" s="175"/>
      <c r="D55" s="175"/>
      <c r="E55" s="175"/>
      <c r="F55" s="175"/>
    </row>
    <row r="56" spans="1:7" x14ac:dyDescent="0.2">
      <c r="B56" s="175"/>
      <c r="C56" s="175"/>
      <c r="D56" s="175"/>
      <c r="E56" s="175"/>
      <c r="F56" s="175"/>
    </row>
    <row r="57" spans="1:7" x14ac:dyDescent="0.2">
      <c r="B57" s="175"/>
      <c r="C57" s="175"/>
      <c r="D57" s="175"/>
      <c r="E57" s="175"/>
      <c r="F57" s="175"/>
    </row>
    <row r="58" spans="1:7" x14ac:dyDescent="0.2">
      <c r="B58" s="175"/>
      <c r="C58" s="175"/>
      <c r="D58" s="175"/>
      <c r="E58" s="175"/>
      <c r="F58" s="175"/>
    </row>
    <row r="59" spans="1:7" x14ac:dyDescent="0.2">
      <c r="B59" s="175"/>
      <c r="C59" s="175"/>
      <c r="D59" s="175"/>
      <c r="E59" s="175"/>
      <c r="F59" s="175"/>
    </row>
    <row r="60" spans="1:7" x14ac:dyDescent="0.2">
      <c r="B60" s="175"/>
      <c r="C60" s="175"/>
      <c r="D60" s="175"/>
      <c r="E60" s="175"/>
      <c r="F60" s="175"/>
    </row>
    <row r="61" spans="1:7" x14ac:dyDescent="0.2">
      <c r="B61" s="175"/>
      <c r="C61" s="175"/>
      <c r="D61" s="175"/>
      <c r="E61" s="175"/>
      <c r="F61" s="175"/>
    </row>
    <row r="62" spans="1:7" x14ac:dyDescent="0.2">
      <c r="B62" s="175"/>
      <c r="C62" s="175"/>
      <c r="D62" s="175"/>
      <c r="E62" s="175"/>
      <c r="F62" s="175"/>
    </row>
    <row r="63" spans="1:7" x14ac:dyDescent="0.2">
      <c r="B63" s="175"/>
      <c r="C63" s="175"/>
      <c r="D63" s="175"/>
      <c r="E63" s="175"/>
      <c r="F63" s="175"/>
    </row>
    <row r="64" spans="1:7" x14ac:dyDescent="0.2">
      <c r="B64" s="175"/>
      <c r="C64" s="175"/>
      <c r="D64" s="175"/>
      <c r="E64" s="175"/>
      <c r="F64" s="175"/>
    </row>
    <row r="65" spans="2:6" x14ac:dyDescent="0.2">
      <c r="B65" s="175"/>
      <c r="C65" s="175"/>
      <c r="D65" s="175"/>
      <c r="E65" s="175"/>
      <c r="F65" s="175"/>
    </row>
    <row r="66" spans="2:6" x14ac:dyDescent="0.2">
      <c r="B66" s="175"/>
      <c r="C66" s="175"/>
      <c r="D66" s="175"/>
      <c r="E66" s="175"/>
      <c r="F66" s="175"/>
    </row>
    <row r="67" spans="2:6" x14ac:dyDescent="0.2">
      <c r="B67" s="175"/>
      <c r="C67" s="175"/>
      <c r="D67" s="175"/>
      <c r="E67" s="175"/>
      <c r="F67" s="175"/>
    </row>
    <row r="68" spans="2:6" x14ac:dyDescent="0.2">
      <c r="B68" s="175"/>
      <c r="C68" s="175"/>
      <c r="D68" s="175"/>
      <c r="E68" s="175"/>
      <c r="F68" s="175"/>
    </row>
    <row r="69" spans="2:6" x14ac:dyDescent="0.2">
      <c r="B69" s="175"/>
      <c r="C69" s="175"/>
      <c r="D69" s="175"/>
      <c r="E69" s="175"/>
      <c r="F69" s="175"/>
    </row>
    <row r="70" spans="2:6" x14ac:dyDescent="0.2">
      <c r="B70" s="175"/>
      <c r="C70" s="175"/>
      <c r="D70" s="175"/>
      <c r="E70" s="175"/>
      <c r="F70" s="175"/>
    </row>
    <row r="71" spans="2:6" x14ac:dyDescent="0.2">
      <c r="B71" s="175"/>
      <c r="C71" s="175"/>
      <c r="D71" s="175"/>
      <c r="E71" s="175"/>
      <c r="F71" s="175"/>
    </row>
    <row r="72" spans="2:6" x14ac:dyDescent="0.2">
      <c r="B72" s="175"/>
      <c r="C72" s="175"/>
      <c r="D72" s="175"/>
      <c r="E72" s="175"/>
      <c r="F72" s="175"/>
    </row>
    <row r="73" spans="2:6" x14ac:dyDescent="0.2">
      <c r="B73" s="175"/>
      <c r="C73" s="175"/>
      <c r="D73" s="175"/>
      <c r="E73" s="175"/>
      <c r="F73" s="175"/>
    </row>
    <row r="74" spans="2:6" x14ac:dyDescent="0.2">
      <c r="B74" s="175"/>
      <c r="C74" s="175"/>
      <c r="D74" s="175"/>
      <c r="E74" s="175"/>
      <c r="F74" s="175"/>
    </row>
    <row r="75" spans="2:6" x14ac:dyDescent="0.2">
      <c r="B75" s="175"/>
      <c r="C75" s="175"/>
      <c r="D75" s="175"/>
      <c r="E75" s="175"/>
      <c r="F75" s="175"/>
    </row>
    <row r="76" spans="2:6" x14ac:dyDescent="0.2">
      <c r="B76" s="175"/>
      <c r="C76" s="175"/>
      <c r="D76" s="175"/>
      <c r="E76" s="175"/>
      <c r="F76" s="175"/>
    </row>
    <row r="77" spans="2:6" x14ac:dyDescent="0.2">
      <c r="B77" s="175"/>
      <c r="C77" s="175"/>
      <c r="D77" s="175"/>
      <c r="E77" s="175"/>
      <c r="F77" s="175"/>
    </row>
    <row r="78" spans="2:6" x14ac:dyDescent="0.2">
      <c r="B78" s="175"/>
      <c r="C78" s="175"/>
      <c r="D78" s="175"/>
      <c r="E78" s="175"/>
      <c r="F78" s="175"/>
    </row>
    <row r="79" spans="2:6" x14ac:dyDescent="0.2">
      <c r="B79" s="175"/>
      <c r="C79" s="175"/>
      <c r="D79" s="175"/>
      <c r="E79" s="175"/>
      <c r="F79" s="175"/>
    </row>
    <row r="80" spans="2:6" x14ac:dyDescent="0.2">
      <c r="B80" s="175"/>
      <c r="C80" s="175"/>
      <c r="D80" s="175"/>
      <c r="E80" s="175"/>
      <c r="F80" s="175"/>
    </row>
    <row r="81" spans="2:6" x14ac:dyDescent="0.2">
      <c r="B81" s="175"/>
      <c r="C81" s="175"/>
      <c r="D81" s="175"/>
      <c r="E81" s="175"/>
      <c r="F81" s="175"/>
    </row>
    <row r="82" spans="2:6" x14ac:dyDescent="0.2">
      <c r="B82" s="175"/>
      <c r="C82" s="175"/>
      <c r="D82" s="175"/>
      <c r="E82" s="175"/>
      <c r="F82" s="175"/>
    </row>
    <row r="83" spans="2:6" x14ac:dyDescent="0.2">
      <c r="B83" s="175"/>
      <c r="C83" s="175"/>
      <c r="D83" s="175"/>
      <c r="E83" s="175"/>
      <c r="F83" s="175"/>
    </row>
    <row r="84" spans="2:6" x14ac:dyDescent="0.2">
      <c r="B84" s="175"/>
      <c r="C84" s="175"/>
      <c r="D84" s="175"/>
      <c r="E84" s="175"/>
      <c r="F84" s="175"/>
    </row>
    <row r="85" spans="2:6" x14ac:dyDescent="0.2">
      <c r="B85" s="175"/>
      <c r="C85" s="175"/>
      <c r="D85" s="175"/>
      <c r="E85" s="175"/>
      <c r="F85" s="175"/>
    </row>
    <row r="86" spans="2:6" x14ac:dyDescent="0.2">
      <c r="B86" s="175"/>
      <c r="C86" s="175"/>
      <c r="D86" s="175"/>
      <c r="E86" s="175"/>
      <c r="F86" s="175"/>
    </row>
    <row r="87" spans="2:6" x14ac:dyDescent="0.2">
      <c r="B87" s="175"/>
      <c r="C87" s="175"/>
      <c r="D87" s="175"/>
      <c r="E87" s="175"/>
      <c r="F87" s="175"/>
    </row>
    <row r="88" spans="2:6" x14ac:dyDescent="0.2">
      <c r="B88" s="175"/>
      <c r="C88" s="175"/>
      <c r="D88" s="175"/>
      <c r="E88" s="175"/>
      <c r="F88" s="175"/>
    </row>
    <row r="89" spans="2:6" x14ac:dyDescent="0.2">
      <c r="B89" s="175"/>
      <c r="C89" s="175"/>
      <c r="D89" s="175"/>
      <c r="E89" s="175"/>
      <c r="F89" s="175"/>
    </row>
    <row r="90" spans="2:6" x14ac:dyDescent="0.2">
      <c r="B90" s="175"/>
      <c r="C90" s="175"/>
      <c r="D90" s="175"/>
      <c r="E90" s="175"/>
      <c r="F90" s="177"/>
    </row>
    <row r="92" spans="2:6" x14ac:dyDescent="0.2">
      <c r="C92" s="175"/>
      <c r="D92" s="1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</vt:lpstr>
      <vt:lpstr>tab emprunt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B</dc:creator>
  <cp:lastModifiedBy>Isa B</cp:lastModifiedBy>
  <dcterms:created xsi:type="dcterms:W3CDTF">2018-11-10T16:34:56Z</dcterms:created>
  <dcterms:modified xsi:type="dcterms:W3CDTF">2018-11-10T17:42:10Z</dcterms:modified>
</cp:coreProperties>
</file>